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kripsi\"/>
    </mc:Choice>
  </mc:AlternateContent>
  <xr:revisionPtr revIDLastSave="0" documentId="13_ncr:1_{80B89833-04CF-4948-8D04-78D5FDF12BEE}" xr6:coauthVersionLast="47" xr6:coauthVersionMax="47" xr10:uidLastSave="{00000000-0000-0000-0000-000000000000}"/>
  <bookViews>
    <workbookView xWindow="-120" yWindow="-120" windowWidth="20730" windowHeight="11160" firstSheet="2" activeTab="2" xr2:uid="{D66B2069-4C5D-441F-A0B7-60B5F8DC1B9F}"/>
  </bookViews>
  <sheets>
    <sheet name="TPT" sheetId="2" r:id="rId1"/>
    <sheet name="Viskositas" sheetId="13" r:id="rId2"/>
    <sheet name="Gula Reduksi" sheetId="14" r:id="rId3"/>
    <sheet name="Antioksidan" sheetId="15" r:id="rId4"/>
    <sheet name="Antioksidan (Hitungan)" sheetId="7" r:id="rId5"/>
    <sheet name="Warna (L)" sheetId="18" r:id="rId6"/>
    <sheet name="Warna (a)" sheetId="16" r:id="rId7"/>
    <sheet name="Warna (b)" sheetId="1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0" i="14" l="1"/>
  <c r="AF11" i="14"/>
  <c r="AF10" i="14"/>
  <c r="C5" i="7"/>
  <c r="C4" i="7"/>
  <c r="E5" i="7"/>
  <c r="J10" i="14"/>
  <c r="J9" i="15"/>
  <c r="C21" i="15"/>
  <c r="J3" i="15"/>
  <c r="N3" i="15" s="1"/>
  <c r="J9" i="17"/>
  <c r="C23" i="17"/>
  <c r="C22" i="17"/>
  <c r="C21" i="17"/>
  <c r="J11" i="16"/>
  <c r="J10" i="16"/>
  <c r="J9" i="16"/>
  <c r="C23" i="16"/>
  <c r="C22" i="16"/>
  <c r="C21" i="16"/>
  <c r="F4" i="18"/>
  <c r="G4" i="18"/>
  <c r="K4" i="18"/>
  <c r="K6" i="18" s="1"/>
  <c r="F5" i="18"/>
  <c r="G5" i="18"/>
  <c r="K5" i="18"/>
  <c r="F6" i="18"/>
  <c r="G6" i="18"/>
  <c r="J20" i="18"/>
  <c r="O18" i="18" s="1"/>
  <c r="J18" i="18"/>
  <c r="J17" i="18"/>
  <c r="O17" i="18" s="1"/>
  <c r="J16" i="18"/>
  <c r="N16" i="18" s="1"/>
  <c r="J15" i="18"/>
  <c r="N15" i="18" s="1"/>
  <c r="E14" i="18"/>
  <c r="D14" i="18"/>
  <c r="C14" i="18"/>
  <c r="E13" i="18"/>
  <c r="D13" i="18"/>
  <c r="C13" i="18"/>
  <c r="G12" i="18"/>
  <c r="F12" i="18"/>
  <c r="L5" i="18" s="1"/>
  <c r="G11" i="18"/>
  <c r="F11" i="18"/>
  <c r="G10" i="18"/>
  <c r="F10" i="18"/>
  <c r="J5" i="18" s="1"/>
  <c r="G9" i="18"/>
  <c r="F9" i="18"/>
  <c r="G8" i="18"/>
  <c r="F8" i="18"/>
  <c r="G7" i="18"/>
  <c r="F7" i="18"/>
  <c r="J4" i="18" s="1"/>
  <c r="L3" i="18"/>
  <c r="K3" i="18"/>
  <c r="L4" i="18"/>
  <c r="J3" i="18"/>
  <c r="J6" i="18" s="1"/>
  <c r="J11" i="13"/>
  <c r="J10" i="13"/>
  <c r="J9" i="13"/>
  <c r="C23" i="13"/>
  <c r="C22" i="13"/>
  <c r="C21" i="13"/>
  <c r="C20" i="13"/>
  <c r="J3" i="13"/>
  <c r="J7" i="13" s="1"/>
  <c r="C24" i="2"/>
  <c r="J9" i="2"/>
  <c r="J11" i="2"/>
  <c r="C23" i="2"/>
  <c r="C22" i="2"/>
  <c r="C20" i="2"/>
  <c r="Q38" i="7"/>
  <c r="Q25" i="7"/>
  <c r="AD51" i="7"/>
  <c r="J38" i="17"/>
  <c r="J37" i="17"/>
  <c r="J36" i="17"/>
  <c r="N4" i="17"/>
  <c r="N5" i="17"/>
  <c r="N3" i="17"/>
  <c r="J7" i="17"/>
  <c r="K7" i="17"/>
  <c r="L7" i="17"/>
  <c r="L7" i="15"/>
  <c r="N4" i="16"/>
  <c r="N5" i="16"/>
  <c r="K7" i="16"/>
  <c r="O51" i="14"/>
  <c r="O50" i="14"/>
  <c r="O49" i="14"/>
  <c r="K38" i="14"/>
  <c r="K37" i="14"/>
  <c r="K36" i="14"/>
  <c r="N4" i="14"/>
  <c r="N5" i="14"/>
  <c r="K7" i="14"/>
  <c r="L7" i="14"/>
  <c r="J7" i="14"/>
  <c r="J37" i="13"/>
  <c r="J36" i="13"/>
  <c r="N4" i="13"/>
  <c r="N5" i="13"/>
  <c r="K7" i="13"/>
  <c r="L7" i="13"/>
  <c r="N5" i="2"/>
  <c r="L7" i="2"/>
  <c r="N3" i="14"/>
  <c r="K7" i="18" l="1"/>
  <c r="N18" i="18"/>
  <c r="L7" i="18"/>
  <c r="O16" i="18"/>
  <c r="J21" i="18"/>
  <c r="L6" i="18"/>
  <c r="N3" i="18"/>
  <c r="J7" i="18"/>
  <c r="M3" i="18"/>
  <c r="N4" i="18"/>
  <c r="M4" i="18"/>
  <c r="N5" i="18"/>
  <c r="M5" i="18"/>
  <c r="O15" i="18"/>
  <c r="F13" i="18"/>
  <c r="C20" i="18" s="1"/>
  <c r="N17" i="18"/>
  <c r="J19" i="18"/>
  <c r="N3" i="13"/>
  <c r="J38" i="13" s="1"/>
  <c r="J20" i="17"/>
  <c r="J18" i="17"/>
  <c r="O18" i="17" s="1"/>
  <c r="J17" i="17"/>
  <c r="O17" i="17" s="1"/>
  <c r="J16" i="17"/>
  <c r="O16" i="17" s="1"/>
  <c r="J15" i="17"/>
  <c r="J21" i="17" s="1"/>
  <c r="E14" i="17"/>
  <c r="D14" i="17"/>
  <c r="C14" i="17"/>
  <c r="E13" i="17"/>
  <c r="D13" i="17"/>
  <c r="C13" i="17"/>
  <c r="G12" i="17"/>
  <c r="F12" i="17"/>
  <c r="G11" i="17"/>
  <c r="F11" i="17"/>
  <c r="K5" i="17" s="1"/>
  <c r="G10" i="17"/>
  <c r="F10" i="17"/>
  <c r="G9" i="17"/>
  <c r="F9" i="17"/>
  <c r="L4" i="17" s="1"/>
  <c r="G8" i="17"/>
  <c r="F8" i="17"/>
  <c r="K4" i="17" s="1"/>
  <c r="G7" i="17"/>
  <c r="F7" i="17"/>
  <c r="G6" i="17"/>
  <c r="F6" i="17"/>
  <c r="L5" i="17"/>
  <c r="J5" i="17"/>
  <c r="M5" i="17" s="1"/>
  <c r="G5" i="17"/>
  <c r="F5" i="17"/>
  <c r="K3" i="17" s="1"/>
  <c r="J4" i="17"/>
  <c r="G4" i="17"/>
  <c r="F4" i="17"/>
  <c r="L3" i="17"/>
  <c r="J3" i="17"/>
  <c r="J6" i="17" s="1"/>
  <c r="O49" i="17" s="1"/>
  <c r="O50" i="16"/>
  <c r="N50" i="16"/>
  <c r="J20" i="16"/>
  <c r="J18" i="16"/>
  <c r="N18" i="16" s="1"/>
  <c r="J17" i="16"/>
  <c r="N17" i="16" s="1"/>
  <c r="O16" i="16"/>
  <c r="J16" i="16"/>
  <c r="N16" i="16" s="1"/>
  <c r="J15" i="16"/>
  <c r="O15" i="16" s="1"/>
  <c r="E14" i="16"/>
  <c r="D14" i="16"/>
  <c r="C14" i="16"/>
  <c r="E13" i="16"/>
  <c r="D13" i="16"/>
  <c r="C13" i="16"/>
  <c r="G12" i="16"/>
  <c r="F12" i="16"/>
  <c r="L5" i="16" s="1"/>
  <c r="G11" i="16"/>
  <c r="F11" i="16"/>
  <c r="K5" i="16" s="1"/>
  <c r="G10" i="16"/>
  <c r="F10" i="16"/>
  <c r="J5" i="16" s="1"/>
  <c r="G9" i="16"/>
  <c r="F9" i="16"/>
  <c r="L4" i="16" s="1"/>
  <c r="G8" i="16"/>
  <c r="F8" i="16"/>
  <c r="K4" i="16" s="1"/>
  <c r="G7" i="16"/>
  <c r="F7" i="16"/>
  <c r="J4" i="16" s="1"/>
  <c r="G6" i="16"/>
  <c r="F6" i="16"/>
  <c r="L3" i="16" s="1"/>
  <c r="G5" i="16"/>
  <c r="F5" i="16"/>
  <c r="G4" i="16"/>
  <c r="F4" i="16"/>
  <c r="J3" i="16" s="1"/>
  <c r="J7" i="16" s="1"/>
  <c r="N49" i="16" s="1"/>
  <c r="K3" i="16"/>
  <c r="J20" i="15"/>
  <c r="O18" i="15"/>
  <c r="J18" i="15"/>
  <c r="N18" i="15" s="1"/>
  <c r="O17" i="15"/>
  <c r="J17" i="15"/>
  <c r="J19" i="15" s="1"/>
  <c r="O16" i="15"/>
  <c r="J16" i="15"/>
  <c r="N16" i="15" s="1"/>
  <c r="O15" i="15"/>
  <c r="J15" i="15"/>
  <c r="N15" i="15" s="1"/>
  <c r="E14" i="15"/>
  <c r="D14" i="15"/>
  <c r="C14" i="15"/>
  <c r="E13" i="15"/>
  <c r="D13" i="15"/>
  <c r="C13" i="15"/>
  <c r="G12" i="15"/>
  <c r="F12" i="15"/>
  <c r="L5" i="15" s="1"/>
  <c r="G11" i="15"/>
  <c r="F11" i="15"/>
  <c r="K5" i="15" s="1"/>
  <c r="G10" i="15"/>
  <c r="F10" i="15"/>
  <c r="J5" i="15" s="1"/>
  <c r="G9" i="15"/>
  <c r="F9" i="15"/>
  <c r="G8" i="15"/>
  <c r="F8" i="15"/>
  <c r="K4" i="15" s="1"/>
  <c r="G7" i="15"/>
  <c r="F7" i="15"/>
  <c r="J4" i="15" s="1"/>
  <c r="G6" i="15"/>
  <c r="F6" i="15"/>
  <c r="L3" i="15" s="1"/>
  <c r="G5" i="15"/>
  <c r="F5" i="15"/>
  <c r="L4" i="15"/>
  <c r="G4" i="15"/>
  <c r="F4" i="15"/>
  <c r="F13" i="15" s="1"/>
  <c r="C20" i="15" s="1"/>
  <c r="K3" i="15"/>
  <c r="AF5" i="14"/>
  <c r="AF6" i="14"/>
  <c r="AF7" i="14"/>
  <c r="AF8" i="14"/>
  <c r="AF9" i="14"/>
  <c r="AF12" i="14"/>
  <c r="AF13" i="14"/>
  <c r="AF14" i="14"/>
  <c r="AF15" i="14"/>
  <c r="AF16" i="14"/>
  <c r="AF17" i="14"/>
  <c r="AF18" i="14"/>
  <c r="AF19" i="14"/>
  <c r="AF20" i="14"/>
  <c r="AF21" i="14"/>
  <c r="AF22" i="14"/>
  <c r="AF23" i="14"/>
  <c r="AF24" i="14"/>
  <c r="AF25" i="14"/>
  <c r="AF26" i="14"/>
  <c r="AF27" i="14"/>
  <c r="AF28" i="14"/>
  <c r="AF29" i="14"/>
  <c r="AF30" i="14"/>
  <c r="AF31" i="14"/>
  <c r="AF32" i="14"/>
  <c r="AF33" i="14"/>
  <c r="AF34" i="14"/>
  <c r="AF35" i="14"/>
  <c r="AG35" i="14" s="1"/>
  <c r="AH35" i="14" s="1"/>
  <c r="AF36" i="14"/>
  <c r="AG36" i="14" s="1"/>
  <c r="AH36" i="14" s="1"/>
  <c r="AF4" i="14"/>
  <c r="AG34" i="14"/>
  <c r="AH34" i="14" s="1"/>
  <c r="AG33" i="14"/>
  <c r="AH33" i="14" s="1"/>
  <c r="AG32" i="14"/>
  <c r="AH32" i="14" s="1"/>
  <c r="AG31" i="14"/>
  <c r="AH31" i="14" s="1"/>
  <c r="AG30" i="14"/>
  <c r="AH30" i="14" s="1"/>
  <c r="AG29" i="14"/>
  <c r="AH29" i="14" s="1"/>
  <c r="AG28" i="14"/>
  <c r="AH28" i="14" s="1"/>
  <c r="AG27" i="14"/>
  <c r="AH27" i="14" s="1"/>
  <c r="AG26" i="14"/>
  <c r="AH26" i="14" s="1"/>
  <c r="AG25" i="14"/>
  <c r="AH25" i="14" s="1"/>
  <c r="AG24" i="14"/>
  <c r="AH24" i="14" s="1"/>
  <c r="AG23" i="14"/>
  <c r="AH23" i="14" s="1"/>
  <c r="AG22" i="14"/>
  <c r="AH22" i="14" s="1"/>
  <c r="AG21" i="14"/>
  <c r="AH21" i="14" s="1"/>
  <c r="AG20" i="14"/>
  <c r="AH20" i="14" s="1"/>
  <c r="AG19" i="14"/>
  <c r="AH19" i="14" s="1"/>
  <c r="AG18" i="14"/>
  <c r="AH18" i="14" s="1"/>
  <c r="AG17" i="14"/>
  <c r="AH17" i="14" s="1"/>
  <c r="AG16" i="14"/>
  <c r="AH16" i="14" s="1"/>
  <c r="AG15" i="14"/>
  <c r="AH15" i="14" s="1"/>
  <c r="AG14" i="14"/>
  <c r="AH14" i="14" s="1"/>
  <c r="AG13" i="14"/>
  <c r="AH13" i="14" s="1"/>
  <c r="AG12" i="14"/>
  <c r="AH12" i="14" s="1"/>
  <c r="AG11" i="14"/>
  <c r="AH11" i="14" s="1"/>
  <c r="AH10" i="14"/>
  <c r="AG9" i="14"/>
  <c r="AH9" i="14" s="1"/>
  <c r="AG8" i="14"/>
  <c r="AH8" i="14" s="1"/>
  <c r="AG7" i="14"/>
  <c r="AH7" i="14" s="1"/>
  <c r="AG6" i="14"/>
  <c r="AH6" i="14" s="1"/>
  <c r="AG5" i="14"/>
  <c r="AH5" i="14" s="1"/>
  <c r="AG4" i="14"/>
  <c r="AH4" i="14" s="1"/>
  <c r="M15" i="14"/>
  <c r="L20" i="14"/>
  <c r="L17" i="14"/>
  <c r="L16" i="14"/>
  <c r="L15" i="14"/>
  <c r="K15" i="14"/>
  <c r="K16" i="14"/>
  <c r="J21" i="14"/>
  <c r="J20" i="14"/>
  <c r="J19" i="14"/>
  <c r="J18" i="14"/>
  <c r="J17" i="14"/>
  <c r="J16" i="14"/>
  <c r="J15" i="14"/>
  <c r="J11" i="14"/>
  <c r="J9" i="14"/>
  <c r="K17" i="14" s="1"/>
  <c r="C37" i="14"/>
  <c r="C39" i="14" s="1"/>
  <c r="C38" i="14"/>
  <c r="C36" i="14"/>
  <c r="C35" i="14"/>
  <c r="J38" i="14"/>
  <c r="J37" i="14"/>
  <c r="J36" i="14"/>
  <c r="E14" i="14"/>
  <c r="D14" i="14"/>
  <c r="C14" i="14"/>
  <c r="F13" i="14"/>
  <c r="E13" i="14"/>
  <c r="D13" i="14"/>
  <c r="C13" i="14"/>
  <c r="G12" i="14"/>
  <c r="F12" i="14"/>
  <c r="G11" i="14"/>
  <c r="F11" i="14"/>
  <c r="G10" i="14"/>
  <c r="F10" i="14"/>
  <c r="G9" i="14"/>
  <c r="F9" i="14"/>
  <c r="G8" i="14"/>
  <c r="F8" i="14"/>
  <c r="G7" i="14"/>
  <c r="F7" i="14"/>
  <c r="G6" i="14"/>
  <c r="F6" i="14"/>
  <c r="G5" i="14"/>
  <c r="F5" i="14"/>
  <c r="G4" i="14"/>
  <c r="F4" i="14"/>
  <c r="D14" i="2"/>
  <c r="E14" i="2"/>
  <c r="C14" i="2"/>
  <c r="M3" i="13"/>
  <c r="E13" i="13"/>
  <c r="G4" i="13"/>
  <c r="D14" i="13"/>
  <c r="E14" i="13"/>
  <c r="C14" i="13"/>
  <c r="C23" i="18" l="1"/>
  <c r="C21" i="18"/>
  <c r="J9" i="18"/>
  <c r="K17" i="18" s="1"/>
  <c r="L17" i="18" s="1"/>
  <c r="C22" i="18"/>
  <c r="K15" i="18" s="1"/>
  <c r="L15" i="18" s="1"/>
  <c r="J10" i="18"/>
  <c r="K18" i="18" s="1"/>
  <c r="L18" i="18" s="1"/>
  <c r="N19" i="18"/>
  <c r="O19" i="18"/>
  <c r="M6" i="18"/>
  <c r="N3" i="16"/>
  <c r="L7" i="16"/>
  <c r="N51" i="16" s="1"/>
  <c r="K7" i="15"/>
  <c r="N5" i="15"/>
  <c r="J7" i="15"/>
  <c r="N4" i="15"/>
  <c r="N49" i="17"/>
  <c r="M3" i="17"/>
  <c r="K6" i="17"/>
  <c r="O50" i="17" s="1"/>
  <c r="M4" i="17"/>
  <c r="F13" i="17"/>
  <c r="C20" i="17" s="1"/>
  <c r="N15" i="17"/>
  <c r="N17" i="17"/>
  <c r="J19" i="17"/>
  <c r="L6" i="17"/>
  <c r="O51" i="17" s="1"/>
  <c r="O15" i="17"/>
  <c r="N16" i="17"/>
  <c r="N18" i="17"/>
  <c r="J21" i="16"/>
  <c r="M5" i="16"/>
  <c r="L6" i="16"/>
  <c r="O51" i="16" s="1"/>
  <c r="J6" i="16"/>
  <c r="O49" i="16" s="1"/>
  <c r="J37" i="16"/>
  <c r="M3" i="16"/>
  <c r="M4" i="16"/>
  <c r="J36" i="16"/>
  <c r="O18" i="16"/>
  <c r="K6" i="16"/>
  <c r="F13" i="16"/>
  <c r="C20" i="16" s="1"/>
  <c r="N15" i="16"/>
  <c r="J19" i="16"/>
  <c r="O17" i="16"/>
  <c r="M4" i="15"/>
  <c r="K6" i="15"/>
  <c r="M5" i="15"/>
  <c r="N19" i="15"/>
  <c r="O19" i="15"/>
  <c r="C23" i="15"/>
  <c r="C22" i="15"/>
  <c r="K15" i="15" s="1"/>
  <c r="L15" i="15" s="1"/>
  <c r="L6" i="15"/>
  <c r="J21" i="15"/>
  <c r="N17" i="15"/>
  <c r="G25" i="14"/>
  <c r="E28" i="14"/>
  <c r="E29" i="14" s="1"/>
  <c r="O18" i="14"/>
  <c r="N15" i="14"/>
  <c r="D28" i="14"/>
  <c r="D29" i="14" s="1"/>
  <c r="C28" i="14"/>
  <c r="C29" i="14" s="1"/>
  <c r="G27" i="14"/>
  <c r="F27" i="14"/>
  <c r="L5" i="14" s="1"/>
  <c r="G26" i="14"/>
  <c r="F26" i="14"/>
  <c r="K5" i="14" s="1"/>
  <c r="G24" i="14"/>
  <c r="F24" i="14"/>
  <c r="L4" i="14" s="1"/>
  <c r="G23" i="14"/>
  <c r="F23" i="14"/>
  <c r="K4" i="14" s="1"/>
  <c r="G22" i="14"/>
  <c r="F22" i="14"/>
  <c r="J4" i="14" s="1"/>
  <c r="G21" i="14"/>
  <c r="F21" i="14"/>
  <c r="L3" i="14" s="1"/>
  <c r="G20" i="14"/>
  <c r="F20" i="14"/>
  <c r="K3" i="14" s="1"/>
  <c r="G19" i="14"/>
  <c r="F19" i="14"/>
  <c r="J3" i="14" s="1"/>
  <c r="J6" i="13"/>
  <c r="J20" i="13"/>
  <c r="J18" i="13"/>
  <c r="J17" i="13"/>
  <c r="O17" i="13" s="1"/>
  <c r="J16" i="13"/>
  <c r="J15" i="13"/>
  <c r="O15" i="13" s="1"/>
  <c r="D13" i="13"/>
  <c r="C13" i="13"/>
  <c r="G12" i="13"/>
  <c r="F12" i="13"/>
  <c r="L5" i="13" s="1"/>
  <c r="G11" i="13"/>
  <c r="F11" i="13"/>
  <c r="K5" i="13" s="1"/>
  <c r="G10" i="13"/>
  <c r="F10" i="13"/>
  <c r="J5" i="13" s="1"/>
  <c r="G9" i="13"/>
  <c r="F9" i="13"/>
  <c r="L4" i="13" s="1"/>
  <c r="G8" i="13"/>
  <c r="F8" i="13"/>
  <c r="K4" i="13" s="1"/>
  <c r="G7" i="13"/>
  <c r="F7" i="13"/>
  <c r="J4" i="13" s="1"/>
  <c r="G6" i="13"/>
  <c r="F6" i="13"/>
  <c r="L3" i="13" s="1"/>
  <c r="G5" i="13"/>
  <c r="F5" i="13"/>
  <c r="K3" i="13" s="1"/>
  <c r="F4" i="13"/>
  <c r="K21" i="18" l="1"/>
  <c r="C24" i="18"/>
  <c r="K20" i="18" s="1"/>
  <c r="L20" i="18" s="1"/>
  <c r="J11" i="18"/>
  <c r="K19" i="18" s="1"/>
  <c r="L19" i="18" s="1"/>
  <c r="K16" i="18"/>
  <c r="L16" i="18" s="1"/>
  <c r="J38" i="16"/>
  <c r="N51" i="17"/>
  <c r="O19" i="17"/>
  <c r="N19" i="17"/>
  <c r="N50" i="17"/>
  <c r="J10" i="17"/>
  <c r="K18" i="17" s="1"/>
  <c r="L18" i="17" s="1"/>
  <c r="K15" i="17"/>
  <c r="L15" i="17" s="1"/>
  <c r="K17" i="17"/>
  <c r="L17" i="17" s="1"/>
  <c r="M6" i="17"/>
  <c r="M6" i="16"/>
  <c r="K17" i="16"/>
  <c r="L17" i="16" s="1"/>
  <c r="K18" i="16"/>
  <c r="L18" i="16" s="1"/>
  <c r="K15" i="16"/>
  <c r="L15" i="16" s="1"/>
  <c r="N19" i="16"/>
  <c r="O19" i="16"/>
  <c r="K21" i="15"/>
  <c r="C24" i="15"/>
  <c r="K20" i="15" s="1"/>
  <c r="J6" i="15"/>
  <c r="J10" i="15" s="1"/>
  <c r="K18" i="15" s="1"/>
  <c r="L18" i="15" s="1"/>
  <c r="M3" i="15"/>
  <c r="K16" i="15"/>
  <c r="L16" i="15" s="1"/>
  <c r="O15" i="14"/>
  <c r="O19" i="14"/>
  <c r="O17" i="14"/>
  <c r="F25" i="14"/>
  <c r="J5" i="14" s="1"/>
  <c r="M4" i="14"/>
  <c r="L6" i="14"/>
  <c r="K6" i="14"/>
  <c r="M3" i="14"/>
  <c r="N18" i="14"/>
  <c r="N16" i="14"/>
  <c r="O16" i="14"/>
  <c r="N17" i="14"/>
  <c r="N18" i="13"/>
  <c r="O18" i="13"/>
  <c r="N16" i="13"/>
  <c r="O16" i="13"/>
  <c r="L6" i="13"/>
  <c r="M5" i="13"/>
  <c r="M4" i="13"/>
  <c r="K6" i="13"/>
  <c r="F13" i="13"/>
  <c r="N15" i="13"/>
  <c r="N17" i="13"/>
  <c r="J19" i="13"/>
  <c r="J21" i="13"/>
  <c r="M15" i="18" l="1"/>
  <c r="M16" i="18"/>
  <c r="M19" i="18"/>
  <c r="M17" i="18"/>
  <c r="M18" i="18"/>
  <c r="L20" i="15"/>
  <c r="C24" i="17"/>
  <c r="K20" i="17" s="1"/>
  <c r="L20" i="17" s="1"/>
  <c r="K21" i="17"/>
  <c r="K16" i="17"/>
  <c r="L16" i="17" s="1"/>
  <c r="J11" i="17"/>
  <c r="K19" i="17" s="1"/>
  <c r="L19" i="17" s="1"/>
  <c r="K21" i="16"/>
  <c r="C24" i="16"/>
  <c r="K20" i="16" s="1"/>
  <c r="L20" i="16" s="1"/>
  <c r="K19" i="16"/>
  <c r="L19" i="16" s="1"/>
  <c r="K16" i="16"/>
  <c r="L16" i="16" s="1"/>
  <c r="M6" i="15"/>
  <c r="N19" i="14"/>
  <c r="J6" i="14"/>
  <c r="M5" i="14"/>
  <c r="M6" i="14" s="1"/>
  <c r="F28" i="14"/>
  <c r="K15" i="13"/>
  <c r="L15" i="13" s="1"/>
  <c r="K17" i="13"/>
  <c r="L17" i="13" s="1"/>
  <c r="K18" i="13"/>
  <c r="L18" i="13" s="1"/>
  <c r="O19" i="13"/>
  <c r="N19" i="13"/>
  <c r="M6" i="13"/>
  <c r="L26" i="15" l="1"/>
  <c r="J27" i="15" s="1"/>
  <c r="J45" i="15" s="1"/>
  <c r="M15" i="15"/>
  <c r="L26" i="17"/>
  <c r="J27" i="17" s="1"/>
  <c r="J39" i="17" s="1"/>
  <c r="M19" i="17"/>
  <c r="M16" i="17"/>
  <c r="M19" i="16"/>
  <c r="M16" i="15"/>
  <c r="M18" i="15"/>
  <c r="M18" i="17"/>
  <c r="M17" i="17"/>
  <c r="M15" i="17"/>
  <c r="L26" i="16"/>
  <c r="J27" i="16" s="1"/>
  <c r="J39" i="16" s="1"/>
  <c r="M18" i="16"/>
  <c r="M16" i="16"/>
  <c r="M15" i="16"/>
  <c r="M17" i="16"/>
  <c r="K17" i="15"/>
  <c r="L17" i="15" s="1"/>
  <c r="M17" i="15" s="1"/>
  <c r="J11" i="15"/>
  <c r="K19" i="15" s="1"/>
  <c r="L19" i="15" s="1"/>
  <c r="M19" i="15" s="1"/>
  <c r="K18" i="14"/>
  <c r="L18" i="14" s="1"/>
  <c r="C24" i="13"/>
  <c r="K20" i="13" s="1"/>
  <c r="L20" i="13" s="1"/>
  <c r="L26" i="13" s="1"/>
  <c r="J27" i="13" s="1"/>
  <c r="K21" i="13"/>
  <c r="K16" i="13"/>
  <c r="L16" i="13" s="1"/>
  <c r="K19" i="13"/>
  <c r="L19" i="13" s="1"/>
  <c r="K40" i="15" l="1"/>
  <c r="K43" i="15"/>
  <c r="K39" i="15"/>
  <c r="K42" i="15"/>
  <c r="K36" i="15"/>
  <c r="K38" i="15"/>
  <c r="K41" i="15"/>
  <c r="K37" i="15"/>
  <c r="N63" i="15"/>
  <c r="K37" i="17"/>
  <c r="K36" i="17"/>
  <c r="N52" i="17"/>
  <c r="K37" i="16"/>
  <c r="K36" i="16"/>
  <c r="N52" i="16"/>
  <c r="K19" i="14"/>
  <c r="L19" i="14" s="1"/>
  <c r="K21" i="14"/>
  <c r="K20" i="14"/>
  <c r="L26" i="14" s="1"/>
  <c r="J39" i="13"/>
  <c r="M15" i="13"/>
  <c r="M19" i="13"/>
  <c r="M18" i="13"/>
  <c r="M16" i="13"/>
  <c r="M17" i="13"/>
  <c r="K37" i="13" l="1"/>
  <c r="K36" i="13"/>
  <c r="N52" i="13"/>
  <c r="J27" i="14"/>
  <c r="J39" i="14" s="1"/>
  <c r="M17" i="14"/>
  <c r="M16" i="14"/>
  <c r="M18" i="14"/>
  <c r="M19" i="14"/>
  <c r="N52" i="14" l="1"/>
  <c r="G9" i="2" l="1"/>
  <c r="G8" i="2"/>
  <c r="J20" i="2" l="1"/>
  <c r="J18" i="2"/>
  <c r="J17" i="2"/>
  <c r="J16" i="2"/>
  <c r="J15" i="2"/>
  <c r="J21" i="2" l="1"/>
  <c r="J19" i="2"/>
  <c r="O17" i="2" l="1"/>
  <c r="N15" i="2" l="1"/>
  <c r="O16" i="2"/>
  <c r="N18" i="2"/>
  <c r="N19" i="2"/>
  <c r="O15" i="2"/>
  <c r="N17" i="2"/>
  <c r="O19" i="2"/>
  <c r="N16" i="2"/>
  <c r="O18" i="2"/>
  <c r="G5" i="2" l="1"/>
  <c r="G6" i="2"/>
  <c r="G7" i="2"/>
  <c r="G10" i="2"/>
  <c r="G11" i="2"/>
  <c r="G12" i="2"/>
  <c r="F5" i="2"/>
  <c r="F6" i="2"/>
  <c r="F7" i="2"/>
  <c r="F8" i="2"/>
  <c r="F9" i="2"/>
  <c r="F10" i="2"/>
  <c r="F11" i="2"/>
  <c r="F12" i="2"/>
  <c r="L5" i="2" s="1"/>
  <c r="D13" i="2"/>
  <c r="E13" i="2"/>
  <c r="C13" i="2"/>
  <c r="G4" i="2"/>
  <c r="F4" i="2"/>
  <c r="K4" i="2" l="1"/>
  <c r="K5" i="2"/>
  <c r="J4" i="2"/>
  <c r="J5" i="2"/>
  <c r="L3" i="2"/>
  <c r="L4" i="2"/>
  <c r="K3" i="2"/>
  <c r="K7" i="2" s="1"/>
  <c r="J3" i="2"/>
  <c r="F13" i="2"/>
  <c r="C21" i="2" s="1"/>
  <c r="N3" i="2" l="1"/>
  <c r="N4" i="2"/>
  <c r="J7" i="2"/>
  <c r="K15" i="2"/>
  <c r="L15" i="2" s="1"/>
  <c r="L6" i="2"/>
  <c r="M5" i="2"/>
  <c r="M4" i="2"/>
  <c r="K6" i="2"/>
  <c r="K21" i="2"/>
  <c r="J6" i="2"/>
  <c r="M3" i="2"/>
  <c r="K17" i="2" l="1"/>
  <c r="L17" i="2" s="1"/>
  <c r="K20" i="2"/>
  <c r="J10" i="2"/>
  <c r="K16" i="2"/>
  <c r="L16" i="2" s="1"/>
  <c r="M6" i="2"/>
  <c r="L20" i="2" l="1"/>
  <c r="L26" i="2" s="1"/>
  <c r="K19" i="2"/>
  <c r="L19" i="2" s="1"/>
  <c r="K18" i="2"/>
  <c r="L18" i="2" s="1"/>
  <c r="J27" i="2" l="1"/>
  <c r="J45" i="2" s="1"/>
  <c r="M16" i="2"/>
  <c r="M18" i="2"/>
  <c r="M19" i="2"/>
  <c r="M17" i="2"/>
  <c r="M15" i="2"/>
  <c r="AD103" i="7"/>
  <c r="AD116" i="7"/>
  <c r="AD90" i="7"/>
  <c r="AD77" i="7"/>
  <c r="AD64" i="7"/>
  <c r="AD38" i="7"/>
  <c r="AD25" i="7"/>
  <c r="AD12" i="7"/>
  <c r="Q116" i="7"/>
  <c r="Q103" i="7"/>
  <c r="Q90" i="7"/>
  <c r="Q77" i="7"/>
  <c r="Q64" i="7"/>
  <c r="Q51" i="7"/>
  <c r="Q12" i="7"/>
  <c r="AQ12" i="7"/>
  <c r="D116" i="7"/>
  <c r="D103" i="7"/>
  <c r="D90" i="7"/>
  <c r="D64" i="7"/>
  <c r="D51" i="7"/>
  <c r="D38" i="7"/>
  <c r="D25" i="7"/>
  <c r="D12" i="7"/>
  <c r="D77" i="7"/>
  <c r="K36" i="2" l="1"/>
  <c r="K39" i="2"/>
  <c r="K37" i="2"/>
  <c r="K38" i="2"/>
  <c r="N63" i="2"/>
  <c r="AE112" i="7"/>
  <c r="AC112" i="7" s="1"/>
  <c r="R112" i="7"/>
  <c r="P112" i="7" s="1"/>
  <c r="E112" i="7"/>
  <c r="C112" i="7" s="1"/>
  <c r="AE111" i="7"/>
  <c r="AC111" i="7" s="1"/>
  <c r="R111" i="7"/>
  <c r="P111" i="7" s="1"/>
  <c r="E111" i="7"/>
  <c r="C111" i="7"/>
  <c r="AE110" i="7"/>
  <c r="AC110" i="7" s="1"/>
  <c r="R110" i="7"/>
  <c r="P110" i="7" s="1"/>
  <c r="E110" i="7"/>
  <c r="C110" i="7" s="1"/>
  <c r="AE109" i="7"/>
  <c r="AC109" i="7" s="1"/>
  <c r="R109" i="7"/>
  <c r="P109" i="7" s="1"/>
  <c r="E109" i="7"/>
  <c r="C109" i="7" s="1"/>
  <c r="AE108" i="7"/>
  <c r="AC108" i="7" s="1"/>
  <c r="R108" i="7"/>
  <c r="P108" i="7" s="1"/>
  <c r="E108" i="7"/>
  <c r="C108" i="7" s="1"/>
  <c r="AE99" i="7"/>
  <c r="AC99" i="7"/>
  <c r="R99" i="7"/>
  <c r="P99" i="7" s="1"/>
  <c r="E99" i="7"/>
  <c r="C99" i="7" s="1"/>
  <c r="AE98" i="7"/>
  <c r="AC98" i="7" s="1"/>
  <c r="R98" i="7"/>
  <c r="P98" i="7" s="1"/>
  <c r="E98" i="7"/>
  <c r="C98" i="7" s="1"/>
  <c r="AE97" i="7"/>
  <c r="AC97" i="7" s="1"/>
  <c r="R97" i="7"/>
  <c r="P97" i="7"/>
  <c r="E97" i="7"/>
  <c r="C97" i="7" s="1"/>
  <c r="AE96" i="7"/>
  <c r="AC96" i="7" s="1"/>
  <c r="R96" i="7"/>
  <c r="P96" i="7" s="1"/>
  <c r="E96" i="7"/>
  <c r="C96" i="7" s="1"/>
  <c r="AE95" i="7"/>
  <c r="AC95" i="7" s="1"/>
  <c r="R95" i="7"/>
  <c r="P95" i="7" s="1"/>
  <c r="E95" i="7"/>
  <c r="C95" i="7" s="1"/>
  <c r="AE86" i="7"/>
  <c r="AC86" i="7" s="1"/>
  <c r="R86" i="7"/>
  <c r="P86" i="7" s="1"/>
  <c r="E86" i="7"/>
  <c r="C86" i="7" s="1"/>
  <c r="AE85" i="7"/>
  <c r="AC85" i="7" s="1"/>
  <c r="R85" i="7"/>
  <c r="P85" i="7" s="1"/>
  <c r="E85" i="7"/>
  <c r="C85" i="7" s="1"/>
  <c r="AE84" i="7"/>
  <c r="AC84" i="7" s="1"/>
  <c r="R84" i="7"/>
  <c r="P84" i="7" s="1"/>
  <c r="E84" i="7"/>
  <c r="C84" i="7" s="1"/>
  <c r="AE83" i="7"/>
  <c r="AC83" i="7" s="1"/>
  <c r="R83" i="7"/>
  <c r="P83" i="7" s="1"/>
  <c r="E83" i="7"/>
  <c r="C83" i="7" s="1"/>
  <c r="AE82" i="7"/>
  <c r="AC82" i="7" s="1"/>
  <c r="R82" i="7"/>
  <c r="P82" i="7" s="1"/>
  <c r="E82" i="7"/>
  <c r="C82" i="7" s="1"/>
  <c r="AE73" i="7"/>
  <c r="AC73" i="7" s="1"/>
  <c r="R73" i="7"/>
  <c r="P73" i="7" s="1"/>
  <c r="E73" i="7"/>
  <c r="C73" i="7" s="1"/>
  <c r="AE72" i="7"/>
  <c r="AC72" i="7" s="1"/>
  <c r="R72" i="7"/>
  <c r="P72" i="7" s="1"/>
  <c r="E72" i="7"/>
  <c r="C72" i="7" s="1"/>
  <c r="AE71" i="7"/>
  <c r="AC71" i="7" s="1"/>
  <c r="R71" i="7"/>
  <c r="P71" i="7" s="1"/>
  <c r="E71" i="7"/>
  <c r="C71" i="7" s="1"/>
  <c r="AE70" i="7"/>
  <c r="AC70" i="7"/>
  <c r="R70" i="7"/>
  <c r="P70" i="7" s="1"/>
  <c r="E70" i="7"/>
  <c r="C70" i="7" s="1"/>
  <c r="AE69" i="7"/>
  <c r="AC69" i="7" s="1"/>
  <c r="R69" i="7"/>
  <c r="P69" i="7" s="1"/>
  <c r="E69" i="7"/>
  <c r="C69" i="7" s="1"/>
  <c r="AE60" i="7"/>
  <c r="AC60" i="7" s="1"/>
  <c r="R60" i="7"/>
  <c r="P60" i="7" s="1"/>
  <c r="E60" i="7"/>
  <c r="C60" i="7" s="1"/>
  <c r="AE59" i="7"/>
  <c r="AC59" i="7" s="1"/>
  <c r="R59" i="7"/>
  <c r="P59" i="7" s="1"/>
  <c r="E59" i="7"/>
  <c r="C59" i="7" s="1"/>
  <c r="AE58" i="7"/>
  <c r="AC58" i="7" s="1"/>
  <c r="R58" i="7"/>
  <c r="P58" i="7" s="1"/>
  <c r="E58" i="7"/>
  <c r="C58" i="7" s="1"/>
  <c r="AE57" i="7"/>
  <c r="AC57" i="7" s="1"/>
  <c r="R57" i="7"/>
  <c r="P57" i="7" s="1"/>
  <c r="E57" i="7"/>
  <c r="C57" i="7" s="1"/>
  <c r="AE56" i="7"/>
  <c r="AC56" i="7" s="1"/>
  <c r="R56" i="7"/>
  <c r="P56" i="7" s="1"/>
  <c r="E56" i="7"/>
  <c r="C56" i="7" s="1"/>
  <c r="AE47" i="7"/>
  <c r="AC47" i="7" s="1"/>
  <c r="R47" i="7"/>
  <c r="P47" i="7"/>
  <c r="E47" i="7"/>
  <c r="C47" i="7"/>
  <c r="AE46" i="7"/>
  <c r="AC46" i="7" s="1"/>
  <c r="R46" i="7"/>
  <c r="P46" i="7" s="1"/>
  <c r="E46" i="7"/>
  <c r="C46" i="7" s="1"/>
  <c r="AE45" i="7"/>
  <c r="AC45" i="7" s="1"/>
  <c r="R45" i="7"/>
  <c r="P45" i="7" s="1"/>
  <c r="E45" i="7"/>
  <c r="C45" i="7" s="1"/>
  <c r="AE44" i="7"/>
  <c r="AC44" i="7" s="1"/>
  <c r="R44" i="7"/>
  <c r="P44" i="7" s="1"/>
  <c r="E44" i="7"/>
  <c r="C44" i="7" s="1"/>
  <c r="AE43" i="7"/>
  <c r="AC43" i="7" s="1"/>
  <c r="R43" i="7"/>
  <c r="P43" i="7" s="1"/>
  <c r="E43" i="7"/>
  <c r="C43" i="7" s="1"/>
  <c r="AE34" i="7"/>
  <c r="AC34" i="7" s="1"/>
  <c r="R34" i="7"/>
  <c r="P34" i="7" s="1"/>
  <c r="E34" i="7"/>
  <c r="C34" i="7" s="1"/>
  <c r="AE33" i="7"/>
  <c r="AC33" i="7" s="1"/>
  <c r="R33" i="7"/>
  <c r="P33" i="7" s="1"/>
  <c r="E33" i="7"/>
  <c r="C33" i="7" s="1"/>
  <c r="AE32" i="7"/>
  <c r="AC32" i="7" s="1"/>
  <c r="R32" i="7"/>
  <c r="P32" i="7" s="1"/>
  <c r="E32" i="7"/>
  <c r="C32" i="7" s="1"/>
  <c r="AE31" i="7"/>
  <c r="AC31" i="7" s="1"/>
  <c r="R31" i="7"/>
  <c r="P31" i="7" s="1"/>
  <c r="E31" i="7"/>
  <c r="C31" i="7" s="1"/>
  <c r="AE30" i="7"/>
  <c r="AC30" i="7" s="1"/>
  <c r="R30" i="7"/>
  <c r="P30" i="7" s="1"/>
  <c r="E30" i="7"/>
  <c r="C30" i="7" s="1"/>
  <c r="AR8" i="7"/>
  <c r="AP8" i="7" s="1"/>
  <c r="AE21" i="7"/>
  <c r="AC21" i="7" s="1"/>
  <c r="R21" i="7"/>
  <c r="P21" i="7" s="1"/>
  <c r="E21" i="7"/>
  <c r="C21" i="7" s="1"/>
  <c r="AR7" i="7"/>
  <c r="AP7" i="7" s="1"/>
  <c r="AE20" i="7"/>
  <c r="AC20" i="7" s="1"/>
  <c r="R20" i="7"/>
  <c r="P20" i="7" s="1"/>
  <c r="E20" i="7"/>
  <c r="C20" i="7" s="1"/>
  <c r="AR6" i="7"/>
  <c r="AP6" i="7" s="1"/>
  <c r="AE19" i="7"/>
  <c r="AC19" i="7" s="1"/>
  <c r="R19" i="7"/>
  <c r="P19" i="7" s="1"/>
  <c r="E19" i="7"/>
  <c r="C19" i="7" s="1"/>
  <c r="AR5" i="7"/>
  <c r="AP5" i="7" s="1"/>
  <c r="AE18" i="7"/>
  <c r="AC18" i="7" s="1"/>
  <c r="R18" i="7"/>
  <c r="P18" i="7" s="1"/>
  <c r="E18" i="7"/>
  <c r="C18" i="7" s="1"/>
  <c r="AR4" i="7"/>
  <c r="AP4" i="7" s="1"/>
  <c r="AE17" i="7"/>
  <c r="AC17" i="7" s="1"/>
  <c r="R17" i="7"/>
  <c r="P17" i="7" s="1"/>
  <c r="E17" i="7"/>
  <c r="C17" i="7" s="1"/>
  <c r="AE8" i="7"/>
  <c r="AC8" i="7" s="1"/>
  <c r="R8" i="7"/>
  <c r="P8" i="7"/>
  <c r="E8" i="7"/>
  <c r="C8" i="7" s="1"/>
  <c r="AE7" i="7"/>
  <c r="AC7" i="7" s="1"/>
  <c r="R7" i="7"/>
  <c r="P7" i="7" s="1"/>
  <c r="E7" i="7"/>
  <c r="C7" i="7" s="1"/>
  <c r="AE6" i="7"/>
  <c r="AC6" i="7"/>
  <c r="R6" i="7"/>
  <c r="P6" i="7" s="1"/>
  <c r="E6" i="7"/>
  <c r="C6" i="7" s="1"/>
  <c r="AE5" i="7"/>
  <c r="AC5" i="7"/>
  <c r="R5" i="7"/>
  <c r="P5" i="7"/>
  <c r="AE4" i="7"/>
  <c r="AC4" i="7" s="1"/>
  <c r="R4" i="7"/>
  <c r="P4" i="7"/>
  <c r="E4" i="7"/>
</calcChain>
</file>

<file path=xl/sharedStrings.xml><?xml version="1.0" encoding="utf-8"?>
<sst xmlns="http://schemas.openxmlformats.org/spreadsheetml/2006/main" count="1483" uniqueCount="212">
  <si>
    <t>P1F1 (1)</t>
  </si>
  <si>
    <t>P1F1 (2)</t>
  </si>
  <si>
    <t>P1F1 (3)</t>
  </si>
  <si>
    <t>P1F2 (1)</t>
  </si>
  <si>
    <t>P1F2 (2)</t>
  </si>
  <si>
    <t>P1F2 (3)</t>
  </si>
  <si>
    <t>P1F3 (1)</t>
  </si>
  <si>
    <t>P1F3 (2)</t>
  </si>
  <si>
    <t>P1F3 (3)</t>
  </si>
  <si>
    <t>P2F1 (1)</t>
  </si>
  <si>
    <t>P2F1 (2)</t>
  </si>
  <si>
    <t>P2F1 (3)</t>
  </si>
  <si>
    <t>P2F2 (1)</t>
  </si>
  <si>
    <t>P2F2 (2)</t>
  </si>
  <si>
    <t>P2F2 (3)</t>
  </si>
  <si>
    <t>P2F3 (1)</t>
  </si>
  <si>
    <t>P2F3 (2)</t>
  </si>
  <si>
    <t>P3F1 (1)</t>
  </si>
  <si>
    <t>P2F3 (3)</t>
  </si>
  <si>
    <t>P3F1 (2)</t>
  </si>
  <si>
    <t>P3F1 (3)</t>
  </si>
  <si>
    <t>P3F2 (1)</t>
  </si>
  <si>
    <t>P3F2 (2)</t>
  </si>
  <si>
    <t>P3F2 (3)</t>
  </si>
  <si>
    <t>P3F3 (1)</t>
  </si>
  <si>
    <t>P3F3 (3)</t>
  </si>
  <si>
    <t>P3F3 (2)</t>
  </si>
  <si>
    <t>VISKOSITAS</t>
  </si>
  <si>
    <t>mpa*s</t>
  </si>
  <si>
    <t>Sampel 1</t>
  </si>
  <si>
    <t>Konsentrasi</t>
  </si>
  <si>
    <t>% Inhibisi</t>
  </si>
  <si>
    <t>Abs Blanko-Abs Sampel</t>
  </si>
  <si>
    <t>Abs Sampel</t>
  </si>
  <si>
    <t xml:space="preserve">Abs Blanko </t>
  </si>
  <si>
    <t>Nilai IC50</t>
  </si>
  <si>
    <t>y=50</t>
  </si>
  <si>
    <t>maka</t>
  </si>
  <si>
    <t>Sampel 2</t>
  </si>
  <si>
    <t>Sampel 3</t>
  </si>
  <si>
    <t>Sampel 4</t>
  </si>
  <si>
    <t>Sampel 5</t>
  </si>
  <si>
    <t>Sampel 6</t>
  </si>
  <si>
    <t>Sampel 7</t>
  </si>
  <si>
    <t>Sampel 8</t>
  </si>
  <si>
    <t>Sampel 9</t>
  </si>
  <si>
    <t>Sampel 10</t>
  </si>
  <si>
    <t>Sampel 11</t>
  </si>
  <si>
    <t>Sampel 12</t>
  </si>
  <si>
    <t>Sampel 13</t>
  </si>
  <si>
    <t>Sampel 14</t>
  </si>
  <si>
    <t>Sampel 15</t>
  </si>
  <si>
    <t>Sampel 16</t>
  </si>
  <si>
    <t>Sampel 17</t>
  </si>
  <si>
    <t>Sampel 20</t>
  </si>
  <si>
    <t>Sampel 25</t>
  </si>
  <si>
    <t>Sampel 18</t>
  </si>
  <si>
    <t>Sampel 19</t>
  </si>
  <si>
    <t>Sampel 21</t>
  </si>
  <si>
    <t>Sampel 22</t>
  </si>
  <si>
    <t>Sampel 23</t>
  </si>
  <si>
    <t>Sampel 24</t>
  </si>
  <si>
    <t>Sampel 26</t>
  </si>
  <si>
    <t>Sampel 27</t>
  </si>
  <si>
    <t>Sari Jahe</t>
  </si>
  <si>
    <t>y= 0.1779x + 21.45</t>
  </si>
  <si>
    <t>y= 0.3163x + 35.783</t>
  </si>
  <si>
    <t>y= 0.5206x + 34.366</t>
  </si>
  <si>
    <t>y= 0.1713x + 40.033</t>
  </si>
  <si>
    <t>y= 0.3031x + 20.231</t>
  </si>
  <si>
    <t>y= 0.1977x + 17.364</t>
  </si>
  <si>
    <t>y= 0.1318x + 19.012</t>
  </si>
  <si>
    <t>y= 0.0988x + 23.756</t>
  </si>
  <si>
    <t>y= 0.3723x + 17.479</t>
  </si>
  <si>
    <t>y= 0.6952x + 17.974</t>
  </si>
  <si>
    <t>y= 0.3394x + 36.359</t>
  </si>
  <si>
    <t>y= 0.2405x + 31.549</t>
  </si>
  <si>
    <t>y= 0.2405x + 35.371</t>
  </si>
  <si>
    <t>y= 0.4086x + 24.613</t>
  </si>
  <si>
    <t>y= 0.29x + 28.6</t>
  </si>
  <si>
    <t>y= 0.1779x + 30.906</t>
  </si>
  <si>
    <t>y= 1.4794x + 7.7595</t>
  </si>
  <si>
    <t>y= 0.2471x + 35.799</t>
  </si>
  <si>
    <t>y= 0.4745x + 30.675</t>
  </si>
  <si>
    <t>y= 0.1878x + 34.712</t>
  </si>
  <si>
    <t>y= 0.3493x + 29.621</t>
  </si>
  <si>
    <t>y= 0.5041x + 29.736</t>
  </si>
  <si>
    <t>y= 0.2043x + 31.236</t>
  </si>
  <si>
    <t>y= 0.8171x + 27.018</t>
  </si>
  <si>
    <t>y= 0.2735x + 31.318</t>
  </si>
  <si>
    <t>Ulangan</t>
  </si>
  <si>
    <t>I</t>
  </si>
  <si>
    <t>II</t>
  </si>
  <si>
    <t>Perlakuan</t>
  </si>
  <si>
    <t>Total</t>
  </si>
  <si>
    <t>Rata-Rata</t>
  </si>
  <si>
    <t>P1F1</t>
  </si>
  <si>
    <t>P1F2</t>
  </si>
  <si>
    <t>P1F3</t>
  </si>
  <si>
    <t>P2F1</t>
  </si>
  <si>
    <t>P2F2</t>
  </si>
  <si>
    <t>P2F3</t>
  </si>
  <si>
    <t>P3F1</t>
  </si>
  <si>
    <t>P3F2</t>
  </si>
  <si>
    <t>P3F3</t>
  </si>
  <si>
    <t>r (ulangan)</t>
  </si>
  <si>
    <t>Tabel 2 Arah</t>
  </si>
  <si>
    <t>P1</t>
  </si>
  <si>
    <t>P2</t>
  </si>
  <si>
    <t>P3</t>
  </si>
  <si>
    <t>F1</t>
  </si>
  <si>
    <t>F2</t>
  </si>
  <si>
    <t>F3</t>
  </si>
  <si>
    <t xml:space="preserve">Total </t>
  </si>
  <si>
    <t>FK</t>
  </si>
  <si>
    <t>JKT</t>
  </si>
  <si>
    <t>JKK</t>
  </si>
  <si>
    <t>JKP</t>
  </si>
  <si>
    <t>JKG</t>
  </si>
  <si>
    <t>J.K.P</t>
  </si>
  <si>
    <t>J.K.F</t>
  </si>
  <si>
    <t>Tabel ANOVA</t>
  </si>
  <si>
    <t>Sumber Variasi</t>
  </si>
  <si>
    <t>d.b</t>
  </si>
  <si>
    <t>J.K.</t>
  </si>
  <si>
    <t>K.T.</t>
  </si>
  <si>
    <t>F hitung</t>
  </si>
  <si>
    <t>F tabel 5%</t>
  </si>
  <si>
    <t>Notasi</t>
  </si>
  <si>
    <t>Kelompok</t>
  </si>
  <si>
    <t xml:space="preserve">P </t>
  </si>
  <si>
    <t>F</t>
  </si>
  <si>
    <t>PxF</t>
  </si>
  <si>
    <t>Galat</t>
  </si>
  <si>
    <t>J.K.Interaksi (PxF)</t>
  </si>
  <si>
    <t>F tabel 1%</t>
  </si>
  <si>
    <t>*</t>
  </si>
  <si>
    <t>**</t>
  </si>
  <si>
    <r>
      <t>Warna b* (+b=</t>
    </r>
    <r>
      <rPr>
        <sz val="11"/>
        <color theme="4"/>
        <rFont val="Calibri"/>
        <family val="2"/>
        <scheme val="minor"/>
      </rPr>
      <t>Kuning</t>
    </r>
    <r>
      <rPr>
        <sz val="11"/>
        <color theme="1"/>
        <rFont val="Calibri"/>
        <family val="2"/>
        <scheme val="minor"/>
      </rPr>
      <t>, -b=Biru)</t>
    </r>
  </si>
  <si>
    <r>
      <t>Warna a* (+a=</t>
    </r>
    <r>
      <rPr>
        <sz val="11"/>
        <color theme="4"/>
        <rFont val="Calibri"/>
        <family val="2"/>
        <scheme val="minor"/>
      </rPr>
      <t>Merah</t>
    </r>
    <r>
      <rPr>
        <sz val="11"/>
        <color theme="1"/>
        <rFont val="Calibri"/>
        <family val="2"/>
        <scheme val="minor"/>
      </rPr>
      <t>, -a=Hijau)</t>
    </r>
  </si>
  <si>
    <r>
      <t>Warna L (+L=</t>
    </r>
    <r>
      <rPr>
        <sz val="11"/>
        <color theme="4"/>
        <rFont val="Calibri"/>
        <family val="2"/>
        <scheme val="minor"/>
      </rPr>
      <t>Putih</t>
    </r>
    <r>
      <rPr>
        <sz val="11"/>
        <color theme="1"/>
        <rFont val="Calibri"/>
        <family val="2"/>
        <scheme val="minor"/>
      </rPr>
      <t>, -L=Hitam)</t>
    </r>
  </si>
  <si>
    <t>Rata-rata</t>
  </si>
  <si>
    <t>tn</t>
  </si>
  <si>
    <t>Absorbansi</t>
  </si>
  <si>
    <t>a</t>
  </si>
  <si>
    <t>b</t>
  </si>
  <si>
    <t>Data Mentah</t>
  </si>
  <si>
    <t>y = Abs.sampel-Abs.blanko</t>
  </si>
  <si>
    <t>x = Abs.sampel</t>
  </si>
  <si>
    <t>Kadar Gula Reduksi (mg/mL)</t>
  </si>
  <si>
    <t>FP = 20</t>
  </si>
  <si>
    <t>Uji Lanjut</t>
  </si>
  <si>
    <t>x</t>
  </si>
  <si>
    <t>P</t>
  </si>
  <si>
    <t>Ket :</t>
  </si>
  <si>
    <t>Perlakuan = BNJ Tabel (3;16) dan akar KTG/9</t>
  </si>
  <si>
    <t>Interaksi = BNJ Tabel (9;16) dan akar KTG/3</t>
  </si>
  <si>
    <t>Untuk RAK 2 faktor, di sini n = jumlah ulangan * jumlah taraf faktor lawannya</t>
  </si>
  <si>
    <t>Uji Lanjut Faktor PxF</t>
  </si>
  <si>
    <t>BNJ (faktor PxF) =</t>
  </si>
  <si>
    <t>Q (5%) (t; d.b. galat) x akar(KTG/n)</t>
  </si>
  <si>
    <t>Rata-rata + BNJ</t>
  </si>
  <si>
    <t>ab</t>
  </si>
  <si>
    <t>INPUT DATA MINITAB</t>
  </si>
  <si>
    <t>Jenis Bahan Penstabil</t>
  </si>
  <si>
    <t>TPT</t>
  </si>
  <si>
    <t>Konsentrasi Fruktosa</t>
  </si>
  <si>
    <t>c</t>
  </si>
  <si>
    <t>Total rangking</t>
  </si>
  <si>
    <r>
      <t>P1F1 (CMC : Frukosa 65 %</t>
    </r>
    <r>
      <rPr>
        <sz val="12"/>
        <color theme="1"/>
        <rFont val="Calibri"/>
        <family val="2"/>
      </rPr>
      <t>)</t>
    </r>
  </si>
  <si>
    <r>
      <t>P1F2 (CMC : Frukosa 75 %</t>
    </r>
    <r>
      <rPr>
        <sz val="12"/>
        <color theme="1"/>
        <rFont val="Calibri"/>
        <family val="2"/>
      </rPr>
      <t>)</t>
    </r>
  </si>
  <si>
    <r>
      <t>P1F3 (CMC : Frukosa 85 %</t>
    </r>
    <r>
      <rPr>
        <sz val="12"/>
        <color theme="1"/>
        <rFont val="Calibri"/>
        <family val="2"/>
      </rPr>
      <t>)</t>
    </r>
  </si>
  <si>
    <r>
      <t>P2F1 (Pektin : Fruktosa 65 %</t>
    </r>
    <r>
      <rPr>
        <sz val="12"/>
        <color theme="1"/>
        <rFont val="Calibri"/>
        <family val="2"/>
      </rPr>
      <t>)</t>
    </r>
  </si>
  <si>
    <t>P2F2 (Pektin : Fruktosa 75 %)</t>
  </si>
  <si>
    <t>P2F3 (Pektin : Fruktosa 85 %)</t>
  </si>
  <si>
    <t>Viskositas</t>
  </si>
  <si>
    <t>BNJ 5%</t>
  </si>
  <si>
    <t>Q (5%) (3;16) x akar (7651.85/3*3)</t>
  </si>
  <si>
    <t>BNJ (faktor P) =</t>
  </si>
  <si>
    <t>Uji Lanjut Faktor P</t>
  </si>
  <si>
    <t>P1 (CMC)</t>
  </si>
  <si>
    <t>P2 (Pektin)</t>
  </si>
  <si>
    <t>P3 (Karagenan)</t>
  </si>
  <si>
    <t>BNJ (faktor F) =</t>
  </si>
  <si>
    <t>Q (5%) (3;16) x akar (0.80/3*3)</t>
  </si>
  <si>
    <t>Uji Lanjut Faktor F</t>
  </si>
  <si>
    <t>Fix</t>
  </si>
  <si>
    <t>Gula Reduksi</t>
  </si>
  <si>
    <t>F1 (Fruktosa 65%)</t>
  </si>
  <si>
    <t>F3 (Fruktosa 85%)</t>
  </si>
  <si>
    <t>F2 (Fruktosa 75%)</t>
  </si>
  <si>
    <t>Antioksidan</t>
  </si>
  <si>
    <t>Q (5%) (3;16) x akar (1.63/3*3)</t>
  </si>
  <si>
    <t>Warna (a)</t>
  </si>
  <si>
    <t>Warna (b)</t>
  </si>
  <si>
    <t>Q (5%) (3;16) x akar (9.69/3*3)</t>
  </si>
  <si>
    <t>Q (5%) (t; d.b. galat) x akar (KTG/n)</t>
  </si>
  <si>
    <t xml:space="preserve"> </t>
  </si>
  <si>
    <t>III</t>
  </si>
  <si>
    <t>y= 0.2142x + 31.186</t>
  </si>
  <si>
    <t>y= 0.1285x + 38.105</t>
  </si>
  <si>
    <t>y= 0.2241x + 35.618</t>
  </si>
  <si>
    <t>Q (5%) (9;16) x akar (1781.80/3)</t>
  </si>
  <si>
    <t>Q (5%) (9;16) x akar (2.90/3)</t>
  </si>
  <si>
    <t>abc</t>
  </si>
  <si>
    <t>bcd</t>
  </si>
  <si>
    <t>cd</t>
  </si>
  <si>
    <t>d</t>
  </si>
  <si>
    <t>P3F2 (Karagenan : Fruktosa 75 %)</t>
  </si>
  <si>
    <t>P3F3 (Karagenan : Fruktosa 85 %)</t>
  </si>
  <si>
    <r>
      <t>P3F1 (Karagenan : Fruktosa 65 %</t>
    </r>
    <r>
      <rPr>
        <sz val="12"/>
        <color theme="1"/>
        <rFont val="Calibri"/>
        <family val="2"/>
      </rPr>
      <t>)</t>
    </r>
  </si>
  <si>
    <t>Warna (L)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</si>
</sst>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"/>
    <numFmt numFmtId="166" formatCode="0.0000"/>
    <numFmt numFmtId="167" formatCode="0.0"/>
  </numFmts>
  <fonts count="12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9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64" fontId="0" fillId="0" borderId="0" xfId="0" applyNumberFormat="1"/>
    <xf numFmtId="0" fontId="1" fillId="4" borderId="0" xfId="0" applyFont="1" applyFill="1"/>
    <xf numFmtId="0" fontId="1" fillId="3" borderId="0" xfId="0" applyFont="1" applyFill="1"/>
    <xf numFmtId="0" fontId="1" fillId="2" borderId="0" xfId="0" applyFont="1" applyFill="1"/>
    <xf numFmtId="2" fontId="0" fillId="0" borderId="0" xfId="0" applyNumberFormat="1"/>
    <xf numFmtId="0" fontId="0" fillId="0" borderId="1" xfId="0" applyBorder="1"/>
    <xf numFmtId="165" fontId="0" fillId="0" borderId="1" xfId="0" applyNumberFormat="1" applyBorder="1"/>
    <xf numFmtId="2" fontId="0" fillId="0" borderId="1" xfId="0" applyNumberFormat="1" applyBorder="1"/>
    <xf numFmtId="0" fontId="0" fillId="5" borderId="0" xfId="0" applyFill="1"/>
    <xf numFmtId="0" fontId="2" fillId="0" borderId="1" xfId="0" applyFont="1" applyBorder="1" applyAlignment="1">
      <alignment horizontal="center" vertical="center"/>
    </xf>
    <xf numFmtId="2" fontId="0" fillId="2" borderId="1" xfId="0" applyNumberFormat="1" applyFill="1" applyBorder="1"/>
    <xf numFmtId="0" fontId="0" fillId="0" borderId="0" xfId="0" applyBorder="1"/>
    <xf numFmtId="2" fontId="0" fillId="0" borderId="2" xfId="0" applyNumberFormat="1" applyBorder="1"/>
    <xf numFmtId="166" fontId="0" fillId="0" borderId="1" xfId="0" applyNumberFormat="1" applyBorder="1"/>
    <xf numFmtId="0" fontId="0" fillId="0" borderId="1" xfId="0" applyNumberFormat="1" applyBorder="1"/>
    <xf numFmtId="0" fontId="0" fillId="6" borderId="1" xfId="0" applyNumberForma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1" xfId="0" applyFont="1" applyBorder="1"/>
    <xf numFmtId="0" fontId="0" fillId="7" borderId="1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NumberFormat="1" applyBorder="1"/>
    <xf numFmtId="0" fontId="0" fillId="0" borderId="0" xfId="0" applyFill="1"/>
    <xf numFmtId="2" fontId="0" fillId="0" borderId="0" xfId="0" applyNumberFormat="1" applyFill="1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NumberFormat="1" applyFill="1" applyBorder="1"/>
    <xf numFmtId="2" fontId="0" fillId="6" borderId="1" xfId="0" applyNumberFormat="1" applyFill="1" applyBorder="1"/>
    <xf numFmtId="2" fontId="0" fillId="8" borderId="1" xfId="0" applyNumberFormat="1" applyFill="1" applyBorder="1"/>
    <xf numFmtId="2" fontId="0" fillId="9" borderId="1" xfId="0" applyNumberFormat="1" applyFill="1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2" fillId="0" borderId="0" xfId="0" applyFont="1" applyBorder="1"/>
    <xf numFmtId="164" fontId="0" fillId="0" borderId="0" xfId="0" applyNumberFormat="1" applyBorder="1"/>
    <xf numFmtId="0" fontId="0" fillId="0" borderId="15" xfId="0" applyBorder="1"/>
    <xf numFmtId="0" fontId="0" fillId="0" borderId="0" xfId="0" applyBorder="1" applyAlignment="1"/>
    <xf numFmtId="2" fontId="0" fillId="0" borderId="0" xfId="0" applyNumberFormat="1" applyBorder="1"/>
    <xf numFmtId="0" fontId="0" fillId="0" borderId="16" xfId="0" applyBorder="1"/>
    <xf numFmtId="0" fontId="0" fillId="0" borderId="18" xfId="0" applyBorder="1"/>
    <xf numFmtId="167" fontId="0" fillId="0" borderId="1" xfId="0" applyNumberFormat="1" applyBorder="1"/>
    <xf numFmtId="0" fontId="2" fillId="0" borderId="20" xfId="0" applyFont="1" applyBorder="1" applyAlignment="1">
      <alignment horizontal="center" vertical="center"/>
    </xf>
    <xf numFmtId="2" fontId="0" fillId="0" borderId="14" xfId="0" applyNumberFormat="1" applyBorder="1"/>
    <xf numFmtId="0" fontId="0" fillId="0" borderId="19" xfId="0" applyBorder="1"/>
    <xf numFmtId="0" fontId="2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5" borderId="1" xfId="0" applyNumberFormat="1" applyFill="1" applyBorder="1"/>
    <xf numFmtId="0" fontId="2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2" fillId="0" borderId="12" xfId="0" applyFont="1" applyBorder="1"/>
    <xf numFmtId="164" fontId="0" fillId="0" borderId="12" xfId="0" applyNumberFormat="1" applyBorder="1"/>
    <xf numFmtId="0" fontId="0" fillId="0" borderId="12" xfId="0" applyFill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2" fontId="0" fillId="7" borderId="1" xfId="0" applyNumberFormat="1" applyFill="1" applyBorder="1"/>
    <xf numFmtId="0" fontId="3" fillId="0" borderId="0" xfId="0" applyFont="1" applyFill="1"/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1" xfId="1" applyFont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0" fontId="0" fillId="0" borderId="10" xfId="0" applyBorder="1"/>
    <xf numFmtId="0" fontId="0" fillId="6" borderId="2" xfId="0" applyFill="1" applyBorder="1"/>
    <xf numFmtId="164" fontId="2" fillId="0" borderId="10" xfId="0" applyNumberFormat="1" applyFont="1" applyBorder="1" applyAlignment="1">
      <alignment horizontal="center"/>
    </xf>
    <xf numFmtId="0" fontId="0" fillId="0" borderId="10" xfId="0" applyNumberFormat="1" applyBorder="1"/>
    <xf numFmtId="2" fontId="0" fillId="0" borderId="10" xfId="0" applyNumberFormat="1" applyBorder="1"/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5" xfId="0" applyFill="1" applyBorder="1"/>
    <xf numFmtId="2" fontId="0" fillId="0" borderId="16" xfId="0" applyNumberFormat="1" applyBorder="1"/>
    <xf numFmtId="2" fontId="0" fillId="0" borderId="17" xfId="0" applyNumberFormat="1" applyBorder="1"/>
    <xf numFmtId="0" fontId="0" fillId="0" borderId="18" xfId="0" applyFill="1" applyBorder="1"/>
    <xf numFmtId="0" fontId="2" fillId="0" borderId="21" xfId="0" applyFont="1" applyBorder="1"/>
    <xf numFmtId="0" fontId="2" fillId="0" borderId="22" xfId="0" applyFont="1" applyBorder="1" applyAlignment="1">
      <alignment horizontal="center" vertical="center"/>
    </xf>
    <xf numFmtId="2" fontId="0" fillId="0" borderId="0" xfId="0" applyNumberFormat="1" applyFill="1"/>
    <xf numFmtId="0" fontId="7" fillId="0" borderId="9" xfId="0" applyFont="1" applyBorder="1" applyAlignment="1">
      <alignment horizontal="center"/>
    </xf>
    <xf numFmtId="2" fontId="10" fillId="0" borderId="0" xfId="0" applyNumberFormat="1" applyFont="1"/>
    <xf numFmtId="167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2" fontId="0" fillId="6" borderId="2" xfId="0" applyNumberFormat="1" applyFill="1" applyBorder="1"/>
    <xf numFmtId="167" fontId="7" fillId="0" borderId="1" xfId="1" applyNumberFormat="1" applyFont="1" applyBorder="1" applyAlignment="1">
      <alignment horizontal="center" vertical="center"/>
    </xf>
    <xf numFmtId="2" fontId="0" fillId="0" borderId="11" xfId="0" applyNumberFormat="1" applyBorder="1"/>
    <xf numFmtId="2" fontId="0" fillId="0" borderId="12" xfId="0" applyNumberFormat="1" applyBorder="1"/>
    <xf numFmtId="0" fontId="0" fillId="0" borderId="13" xfId="0" applyFill="1" applyBorder="1"/>
    <xf numFmtId="0" fontId="0" fillId="0" borderId="23" xfId="0" applyBorder="1"/>
    <xf numFmtId="0" fontId="0" fillId="0" borderId="24" xfId="0" applyFont="1" applyBorder="1"/>
    <xf numFmtId="0" fontId="0" fillId="0" borderId="25" xfId="0" applyFont="1" applyBorder="1"/>
    <xf numFmtId="0" fontId="0" fillId="0" borderId="23" xfId="0" applyFont="1" applyBorder="1"/>
    <xf numFmtId="0" fontId="0" fillId="0" borderId="11" xfId="0" applyFont="1" applyBorder="1"/>
    <xf numFmtId="0" fontId="0" fillId="0" borderId="14" xfId="0" applyFont="1" applyBorder="1"/>
    <xf numFmtId="0" fontId="0" fillId="0" borderId="16" xfId="0" applyFont="1" applyBorder="1"/>
    <xf numFmtId="0" fontId="1" fillId="0" borderId="0" xfId="0" applyFont="1" applyFill="1"/>
    <xf numFmtId="166" fontId="0" fillId="2" borderId="1" xfId="0" applyNumberFormat="1" applyFill="1" applyBorder="1"/>
    <xf numFmtId="0" fontId="0" fillId="0" borderId="14" xfId="0" applyFill="1" applyBorder="1"/>
    <xf numFmtId="165" fontId="0" fillId="0" borderId="0" xfId="0" applyNumberFormat="1" applyFill="1" applyBorder="1"/>
    <xf numFmtId="2" fontId="0" fillId="0" borderId="15" xfId="0" applyNumberFormat="1" applyFill="1" applyBorder="1"/>
    <xf numFmtId="165" fontId="0" fillId="0" borderId="15" xfId="0" applyNumberFormat="1" applyFill="1" applyBorder="1"/>
    <xf numFmtId="165" fontId="0" fillId="0" borderId="0" xfId="0" applyNumberFormat="1" applyBorder="1"/>
    <xf numFmtId="165" fontId="0" fillId="0" borderId="15" xfId="0" applyNumberFormat="1" applyBorder="1"/>
    <xf numFmtId="165" fontId="0" fillId="0" borderId="17" xfId="0" applyNumberFormat="1" applyBorder="1"/>
    <xf numFmtId="165" fontId="0" fillId="0" borderId="17" xfId="0" applyNumberFormat="1" applyFill="1" applyBorder="1"/>
    <xf numFmtId="165" fontId="0" fillId="0" borderId="18" xfId="0" applyNumberFormat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Border="1"/>
    <xf numFmtId="165" fontId="0" fillId="0" borderId="0" xfId="0" applyNumberFormat="1" applyFont="1" applyFill="1" applyBorder="1"/>
    <xf numFmtId="165" fontId="0" fillId="0" borderId="15" xfId="0" applyNumberFormat="1" applyFont="1" applyFill="1" applyBorder="1"/>
    <xf numFmtId="165" fontId="0" fillId="0" borderId="0" xfId="0" applyNumberFormat="1" applyFont="1" applyBorder="1"/>
    <xf numFmtId="165" fontId="0" fillId="0" borderId="15" xfId="0" applyNumberFormat="1" applyFont="1" applyBorder="1"/>
    <xf numFmtId="165" fontId="7" fillId="0" borderId="1" xfId="1" applyNumberFormat="1" applyFont="1" applyBorder="1" applyAlignment="1">
      <alignment horizontal="center" vertical="center"/>
    </xf>
    <xf numFmtId="2" fontId="0" fillId="2" borderId="10" xfId="0" applyNumberFormat="1" applyFill="1" applyBorder="1"/>
    <xf numFmtId="2" fontId="11" fillId="0" borderId="0" xfId="0" applyNumberFormat="1" applyFont="1" applyAlignment="1">
      <alignment horizontal="center"/>
    </xf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2" fontId="0" fillId="0" borderId="1" xfId="0" applyNumberFormat="1" applyBorder="1" applyAlignment="1">
      <alignment horizontal="right"/>
    </xf>
    <xf numFmtId="0" fontId="2" fillId="0" borderId="0" xfId="0" applyFont="1" applyFill="1"/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2" fontId="0" fillId="2" borderId="1" xfId="0" applyNumberFormat="1" applyFill="1" applyBorder="1"/>
    <xf numFmtId="0" fontId="0" fillId="0" borderId="0" xfId="0" applyBorder="1"/>
    <xf numFmtId="2" fontId="0" fillId="0" borderId="2" xfId="0" applyNumberFormat="1" applyBorder="1"/>
    <xf numFmtId="166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1" xfId="0" applyFont="1" applyBorder="1"/>
    <xf numFmtId="0" fontId="0" fillId="7" borderId="1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NumberFormat="1" applyBorder="1"/>
    <xf numFmtId="2" fontId="0" fillId="0" borderId="0" xfId="0" applyNumberFormat="1" applyFill="1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NumberFormat="1" applyFill="1" applyBorder="1"/>
    <xf numFmtId="2" fontId="0" fillId="6" borderId="1" xfId="0" applyNumberForma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12" xfId="0" applyBorder="1"/>
    <xf numFmtId="0" fontId="2" fillId="0" borderId="0" xfId="0" applyFont="1" applyBorder="1"/>
    <xf numFmtId="164" fontId="0" fillId="0" borderId="0" xfId="0" applyNumberFormat="1" applyBorder="1"/>
    <xf numFmtId="0" fontId="0" fillId="0" borderId="0" xfId="0" applyBorder="1" applyAlignment="1"/>
    <xf numFmtId="2" fontId="0" fillId="0" borderId="0" xfId="0" applyNumberFormat="1" applyBorder="1"/>
    <xf numFmtId="167" fontId="0" fillId="0" borderId="1" xfId="0" applyNumberFormat="1" applyBorder="1"/>
    <xf numFmtId="0" fontId="2" fillId="0" borderId="10" xfId="0" applyFont="1" applyBorder="1" applyAlignment="1">
      <alignment horizontal="center" vertical="center"/>
    </xf>
    <xf numFmtId="0" fontId="0" fillId="0" borderId="2" xfId="0" applyBorder="1"/>
    <xf numFmtId="0" fontId="2" fillId="0" borderId="12" xfId="0" applyFont="1" applyBorder="1"/>
    <xf numFmtId="164" fontId="0" fillId="0" borderId="12" xfId="0" applyNumberFormat="1" applyBorder="1"/>
    <xf numFmtId="0" fontId="0" fillId="0" borderId="12" xfId="0" applyFill="1" applyBorder="1"/>
    <xf numFmtId="2" fontId="0" fillId="7" borderId="1" xfId="0" applyNumberFormat="1" applyFill="1" applyBorder="1"/>
    <xf numFmtId="0" fontId="3" fillId="0" borderId="0" xfId="0" applyFont="1" applyBorder="1" applyAlignment="1">
      <alignment horizontal="left" wrapText="1"/>
    </xf>
    <xf numFmtId="0" fontId="7" fillId="0" borderId="1" xfId="1" applyFont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0" fontId="0" fillId="0" borderId="10" xfId="0" applyBorder="1"/>
    <xf numFmtId="164" fontId="2" fillId="0" borderId="10" xfId="0" applyNumberFormat="1" applyFont="1" applyBorder="1" applyAlignment="1">
      <alignment horizontal="center"/>
    </xf>
    <xf numFmtId="2" fontId="0" fillId="0" borderId="10" xfId="0" applyNumberFormat="1" applyBorder="1"/>
    <xf numFmtId="2" fontId="0" fillId="6" borderId="2" xfId="0" applyNumberFormat="1" applyFill="1" applyBorder="1"/>
    <xf numFmtId="2" fontId="0" fillId="2" borderId="10" xfId="0" applyNumberFormat="1" applyFill="1" applyBorder="1"/>
    <xf numFmtId="2" fontId="0" fillId="0" borderId="1" xfId="0" applyNumberFormat="1" applyBorder="1" applyAlignment="1">
      <alignment horizontal="right"/>
    </xf>
    <xf numFmtId="2" fontId="11" fillId="0" borderId="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1C865D5-A967-46A0-A61E-800CE8057C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Grafik</a:t>
            </a:r>
            <a:r>
              <a:rPr lang="en-US" baseline="0"/>
              <a:t> Kurva Standar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'Gula Reduksi'!$AF$3</c:f>
              <c:strCache>
                <c:ptCount val="1"/>
                <c:pt idx="0">
                  <c:v>y = Abs.sampel-Abs.blanko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'Gula Reduksi'!$AD$4:$AD$9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'Gula Reduksi'!$AF$4:$AF$9</c:f>
              <c:numCache>
                <c:formatCode>0.000</c:formatCode>
                <c:ptCount val="6"/>
                <c:pt idx="0" formatCode="General">
                  <c:v>0</c:v>
                </c:pt>
                <c:pt idx="1">
                  <c:v>4.4999999999999998E-2</c:v>
                </c:pt>
                <c:pt idx="2">
                  <c:v>9.7000000000000003E-2</c:v>
                </c:pt>
                <c:pt idx="3">
                  <c:v>0.151</c:v>
                </c:pt>
                <c:pt idx="4">
                  <c:v>0.20499999999999999</c:v>
                </c:pt>
                <c:pt idx="5">
                  <c:v>0.255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00-4560-A8DE-A43E49B0A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004368"/>
        <c:axId val="2113996880"/>
      </c:scatterChart>
      <c:valAx>
        <c:axId val="211400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Konsentrasi Larutan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996880"/>
        <c:crosses val="autoZero"/>
        <c:crossBetween val="midCat"/>
      </c:valAx>
      <c:valAx>
        <c:axId val="211399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 = Abs. sampel - Abs. blanko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00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(Hitungan)'!$P$107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222751093300172"/>
                  <c:y val="-0.307491111287102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(Hitungan)'!$O$108:$O$112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(Hitungan)'!$P$108:$P$112</c:f>
              <c:numCache>
                <c:formatCode>0.00</c:formatCode>
                <c:ptCount val="5"/>
                <c:pt idx="0">
                  <c:v>11.202635914332777</c:v>
                </c:pt>
                <c:pt idx="1">
                  <c:v>26.688632619439868</c:v>
                </c:pt>
                <c:pt idx="2">
                  <c:v>32.289950576606266</c:v>
                </c:pt>
                <c:pt idx="3">
                  <c:v>36.079077429983521</c:v>
                </c:pt>
                <c:pt idx="4">
                  <c:v>43.49258649093904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12-48A2-B449-E798ED8B0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362159"/>
        <c:axId val="1445347183"/>
      </c:scatterChart>
      <c:valAx>
        <c:axId val="1445362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347183"/>
        <c:crosses val="autoZero"/>
        <c:crossBetween val="midCat"/>
      </c:valAx>
      <c:valAx>
        <c:axId val="1445347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362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(Hitungan)'!$C$3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300466325033228"/>
                  <c:y val="-0.318651380863470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(Hitungan)'!$B$4:$B$8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(Hitungan)'!$C$4:$C$8</c:f>
              <c:numCache>
                <c:formatCode>0.00</c:formatCode>
                <c:ptCount val="5"/>
                <c:pt idx="0">
                  <c:v>36.079077429983521</c:v>
                </c:pt>
                <c:pt idx="1">
                  <c:v>40.032948929159808</c:v>
                </c:pt>
                <c:pt idx="2">
                  <c:v>41.515650741350903</c:v>
                </c:pt>
                <c:pt idx="3">
                  <c:v>42.009884678747945</c:v>
                </c:pt>
                <c:pt idx="4">
                  <c:v>42.998352553542013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18-4187-AF19-34A5F6AD4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746015"/>
        <c:axId val="1446750175"/>
      </c:scatterChart>
      <c:valAx>
        <c:axId val="1446746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50175"/>
        <c:crosses val="autoZero"/>
        <c:crossBetween val="midCat"/>
      </c:valAx>
      <c:valAx>
        <c:axId val="144675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46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(Hitungan)'!$C$16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652132292164563"/>
                  <c:y val="-0.304902357984936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(Hitungan)'!$B$17:$B$21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(Hitungan)'!$C$17:$C$21</c:f>
              <c:numCache>
                <c:formatCode>0.00</c:formatCode>
                <c:ptCount val="5"/>
                <c:pt idx="0">
                  <c:v>38.056013179571664</c:v>
                </c:pt>
                <c:pt idx="1">
                  <c:v>39.703459637561778</c:v>
                </c:pt>
                <c:pt idx="2">
                  <c:v>39.868204283360789</c:v>
                </c:pt>
                <c:pt idx="3">
                  <c:v>44.645799011532119</c:v>
                </c:pt>
                <c:pt idx="4">
                  <c:v>48.5996705107084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E1-4451-A0A9-B6362287A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510783"/>
        <c:axId val="1439508703"/>
      </c:scatterChart>
      <c:valAx>
        <c:axId val="1439510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508703"/>
        <c:crosses val="autoZero"/>
        <c:crossBetween val="midCat"/>
      </c:valAx>
      <c:valAx>
        <c:axId val="1439508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510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(Hitungan)'!$C$29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1373295297375"/>
                  <c:y val="-0.545262226749406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(Hitungan)'!$B$30:$B$34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(Hitungan)'!$C$30:$C$34</c:f>
              <c:numCache>
                <c:formatCode>0.00</c:formatCode>
                <c:ptCount val="5"/>
                <c:pt idx="0">
                  <c:v>40.527182866556842</c:v>
                </c:pt>
                <c:pt idx="1">
                  <c:v>41.845140032948926</c:v>
                </c:pt>
                <c:pt idx="2">
                  <c:v>43.163097199341024</c:v>
                </c:pt>
                <c:pt idx="3">
                  <c:v>43.49258649093904</c:v>
                </c:pt>
                <c:pt idx="4">
                  <c:v>43.986820428336074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CA-4F35-A004-5BAE5B750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362575"/>
        <c:axId val="1445367567"/>
      </c:scatterChart>
      <c:valAx>
        <c:axId val="1445362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367567"/>
        <c:crosses val="autoZero"/>
        <c:crossBetween val="midCat"/>
      </c:valAx>
      <c:valAx>
        <c:axId val="144536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362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(Hitungan)'!$C$42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952462687700728"/>
                  <c:y val="-0.25458523189563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(Hitungan)'!$B$43:$B$47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(Hitungan)'!$C$43:$C$47</c:f>
              <c:numCache>
                <c:formatCode>0.00</c:formatCode>
                <c:ptCount val="5"/>
                <c:pt idx="0">
                  <c:v>21.911037891268535</c:v>
                </c:pt>
                <c:pt idx="1">
                  <c:v>23.887973640856668</c:v>
                </c:pt>
                <c:pt idx="2">
                  <c:v>24.382207578253702</c:v>
                </c:pt>
                <c:pt idx="3">
                  <c:v>24.546952224052713</c:v>
                </c:pt>
                <c:pt idx="4">
                  <c:v>29.159802306425039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D9-40DB-8051-ACC728B0E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502879"/>
        <c:axId val="1439517855"/>
      </c:scatterChart>
      <c:valAx>
        <c:axId val="1439502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517855"/>
        <c:crosses val="autoZero"/>
        <c:crossBetween val="midCat"/>
      </c:valAx>
      <c:valAx>
        <c:axId val="1439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502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(Hitungan)'!$C$55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21076294702297"/>
                  <c:y val="-0.257340359741000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(Hitungan)'!$B$56:$B$60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(Hitungan)'!$C$56:$C$60</c:f>
              <c:numCache>
                <c:formatCode>0.00</c:formatCode>
                <c:ptCount val="5"/>
                <c:pt idx="0">
                  <c:v>18.286655683690277</c:v>
                </c:pt>
                <c:pt idx="1">
                  <c:v>19.604612850082372</c:v>
                </c:pt>
                <c:pt idx="2">
                  <c:v>20.263591433278421</c:v>
                </c:pt>
                <c:pt idx="3">
                  <c:v>20.922570016474463</c:v>
                </c:pt>
                <c:pt idx="4">
                  <c:v>22.570016474464584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74-47F0-A8B0-7B4DC3071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320975"/>
        <c:axId val="1433314735"/>
      </c:scatterChart>
      <c:valAx>
        <c:axId val="143332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314735"/>
        <c:crosses val="autoZero"/>
        <c:crossBetween val="midCat"/>
      </c:valAx>
      <c:valAx>
        <c:axId val="143331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320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(Hitungan)'!$C$68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66907056239308"/>
                  <c:y val="-0.602527280204458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(Hitungan)'!$B$69:$B$73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(Hitungan)'!$C$69:$C$73</c:f>
              <c:numCache>
                <c:formatCode>0.00</c:formatCode>
                <c:ptCount val="5"/>
                <c:pt idx="0">
                  <c:v>21.746293245469523</c:v>
                </c:pt>
                <c:pt idx="1">
                  <c:v>23.723228995057656</c:v>
                </c:pt>
                <c:pt idx="2">
                  <c:v>24.546952224052713</c:v>
                </c:pt>
                <c:pt idx="3">
                  <c:v>25.041186161449751</c:v>
                </c:pt>
                <c:pt idx="4">
                  <c:v>25.535420098846782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09-4A00-9037-A11B4B316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752255"/>
        <c:axId val="1446744767"/>
      </c:scatterChart>
      <c:valAx>
        <c:axId val="1446752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44767"/>
        <c:crosses val="autoZero"/>
        <c:crossBetween val="midCat"/>
      </c:valAx>
      <c:valAx>
        <c:axId val="144674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52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(Hitungan)'!$C$81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232949265782346"/>
                  <c:y val="-0.420483594819458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(Hitungan)'!$C$82:$C$86</c:f>
              <c:numCache>
                <c:formatCode>0.00</c:formatCode>
                <c:ptCount val="5"/>
                <c:pt idx="0">
                  <c:v>19.439868204283361</c:v>
                </c:pt>
                <c:pt idx="1">
                  <c:v>20.593080724876444</c:v>
                </c:pt>
                <c:pt idx="2">
                  <c:v>20.922570016474463</c:v>
                </c:pt>
                <c:pt idx="3">
                  <c:v>21.911037891268535</c:v>
                </c:pt>
                <c:pt idx="4">
                  <c:v>22.075782537067546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2D-4994-A76C-BD054F51C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548863"/>
        <c:axId val="1368549279"/>
      </c:scatterChart>
      <c:valAx>
        <c:axId val="1368548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49279"/>
        <c:crosses val="autoZero"/>
        <c:crossBetween val="midCat"/>
      </c:valAx>
      <c:valAx>
        <c:axId val="1368549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48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(Hitungan)'!$C$94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457078381688605"/>
                  <c:y val="-0.261269013252833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(Hitungan)'!$B$95:$B$99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(Hitungan)'!$C$95:$C$99</c:f>
              <c:numCache>
                <c:formatCode>0.00</c:formatCode>
                <c:ptCount val="5"/>
                <c:pt idx="0">
                  <c:v>24.382207578253702</c:v>
                </c:pt>
                <c:pt idx="1">
                  <c:v>24.546952224052713</c:v>
                </c:pt>
                <c:pt idx="2">
                  <c:v>25.205930807248759</c:v>
                </c:pt>
                <c:pt idx="3">
                  <c:v>25.864909390444808</c:v>
                </c:pt>
                <c:pt idx="4">
                  <c:v>26.194398682042831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4-4604-9F85-52B13860F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6592207"/>
        <c:axId val="1130769215"/>
      </c:scatterChart>
      <c:valAx>
        <c:axId val="1226592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769215"/>
        <c:crosses val="autoZero"/>
        <c:crossBetween val="midCat"/>
      </c:valAx>
      <c:valAx>
        <c:axId val="1130769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592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(Hitungan)'!$C$107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313844626497657"/>
                  <c:y val="-0.252532871846173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(Hitungan)'!$B$108:$B$112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(Hitungan)'!$C$108:$C$112</c:f>
              <c:numCache>
                <c:formatCode>0.00</c:formatCode>
                <c:ptCount val="5"/>
                <c:pt idx="0">
                  <c:v>19.275123558484349</c:v>
                </c:pt>
                <c:pt idx="1">
                  <c:v>21.087314662273478</c:v>
                </c:pt>
                <c:pt idx="2">
                  <c:v>23.228995057660619</c:v>
                </c:pt>
                <c:pt idx="3">
                  <c:v>25.205930807248759</c:v>
                </c:pt>
                <c:pt idx="4">
                  <c:v>26.523887973640853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02-42B0-ACB1-935284DBD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504543"/>
        <c:axId val="1439511199"/>
      </c:scatterChart>
      <c:valAx>
        <c:axId val="143950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511199"/>
        <c:crosses val="autoZero"/>
        <c:crossBetween val="midCat"/>
      </c:valAx>
      <c:valAx>
        <c:axId val="143951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5045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(Hitungan)'!$P$3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043864896764701"/>
                  <c:y val="-0.255852157360741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(Hitungan)'!$O$4:$O$8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(Hitungan)'!$P$4:$P$8</c:f>
              <c:numCache>
                <c:formatCode>0.00</c:formatCode>
                <c:ptCount val="5"/>
                <c:pt idx="0">
                  <c:v>37.891268533772653</c:v>
                </c:pt>
                <c:pt idx="1">
                  <c:v>40.362438220757824</c:v>
                </c:pt>
                <c:pt idx="2">
                  <c:v>41.186161449752888</c:v>
                </c:pt>
                <c:pt idx="3">
                  <c:v>42.504118616144979</c:v>
                </c:pt>
                <c:pt idx="4">
                  <c:v>45.304777594728165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7E-46C2-AB3A-EF013329F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551359"/>
        <c:axId val="1368554687"/>
      </c:scatterChart>
      <c:valAx>
        <c:axId val="136855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4687"/>
        <c:crosses val="autoZero"/>
        <c:crossBetween val="midCat"/>
      </c:valAx>
      <c:valAx>
        <c:axId val="136855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(Hitungan)'!$AC$3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928829487973199"/>
                  <c:y val="-0.526228051695870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(Hitungan)'!$AB$4:$AB$8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(Hitungan)'!$AC$4:$AC$8</c:f>
              <c:numCache>
                <c:formatCode>0.00</c:formatCode>
                <c:ptCount val="5"/>
                <c:pt idx="0">
                  <c:v>37.2322899505766</c:v>
                </c:pt>
                <c:pt idx="1">
                  <c:v>38.220757825370676</c:v>
                </c:pt>
                <c:pt idx="2">
                  <c:v>38.879736408566721</c:v>
                </c:pt>
                <c:pt idx="3">
                  <c:v>41.350906095551899</c:v>
                </c:pt>
                <c:pt idx="4">
                  <c:v>41.845140032948926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04-4B34-83FA-2E01E7859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949423"/>
        <c:axId val="1439947343"/>
      </c:scatterChart>
      <c:valAx>
        <c:axId val="1439949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947343"/>
        <c:crosses val="autoZero"/>
        <c:crossBetween val="midCat"/>
      </c:valAx>
      <c:valAx>
        <c:axId val="1439947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949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(Hitungan)'!$AC$16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100581328187658"/>
                  <c:y val="-0.256552321785704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(Hitungan)'!$AB$17:$AB$21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(Hitungan)'!$AC$17:$AC$21</c:f>
              <c:numCache>
                <c:formatCode>0.00</c:formatCode>
                <c:ptCount val="5"/>
                <c:pt idx="0">
                  <c:v>32.45469522240527</c:v>
                </c:pt>
                <c:pt idx="1">
                  <c:v>35.420098846787475</c:v>
                </c:pt>
                <c:pt idx="2">
                  <c:v>39.044481054365733</c:v>
                </c:pt>
                <c:pt idx="3">
                  <c:v>40.032948929159808</c:v>
                </c:pt>
                <c:pt idx="4">
                  <c:v>42.009884678747945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36-4ECF-865A-D78330459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802863"/>
        <c:axId val="1486797039"/>
      </c:scatterChart>
      <c:valAx>
        <c:axId val="1486802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797039"/>
        <c:crosses val="autoZero"/>
        <c:crossBetween val="midCat"/>
      </c:valAx>
      <c:valAx>
        <c:axId val="1486797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02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(Hitungan)'!$AC$29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943821361777818"/>
                  <c:y val="-0.253352683560930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(Hitungan)'!$AB$30:$AB$34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(Hitungan)'!$AC$30:$AC$34</c:f>
              <c:numCache>
                <c:formatCode>0.00</c:formatCode>
                <c:ptCount val="5"/>
                <c:pt idx="0">
                  <c:v>35.584843492586486</c:v>
                </c:pt>
                <c:pt idx="1">
                  <c:v>36.408566721581543</c:v>
                </c:pt>
                <c:pt idx="2">
                  <c:v>37.2322899505766</c:v>
                </c:pt>
                <c:pt idx="3">
                  <c:v>38.38550247116968</c:v>
                </c:pt>
                <c:pt idx="4">
                  <c:v>39.538714991762767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D4-4C72-A72D-7B97CBDCD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739359"/>
        <c:axId val="1446737279"/>
      </c:scatterChart>
      <c:valAx>
        <c:axId val="1446739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37279"/>
        <c:crosses val="autoZero"/>
        <c:crossBetween val="midCat"/>
      </c:valAx>
      <c:valAx>
        <c:axId val="144673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739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(Hitungan)'!$AC$42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96189863534358"/>
                  <c:y val="-0.248249238455619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(Hitungan)'!$AB$43:$AB$47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(Hitungan)'!$AC$43:$AC$47</c:f>
              <c:numCache>
                <c:formatCode>0.00</c:formatCode>
                <c:ptCount val="5"/>
                <c:pt idx="0">
                  <c:v>32.289950576606266</c:v>
                </c:pt>
                <c:pt idx="1">
                  <c:v>32.948929159802304</c:v>
                </c:pt>
                <c:pt idx="2">
                  <c:v>34.76112026359143</c:v>
                </c:pt>
                <c:pt idx="3">
                  <c:v>35.749588138385498</c:v>
                </c:pt>
                <c:pt idx="4">
                  <c:v>36.243822075782532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9C-4A9F-9F35-4C6A26249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658831"/>
        <c:axId val="1438662159"/>
      </c:scatterChart>
      <c:valAx>
        <c:axId val="14386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662159"/>
        <c:crosses val="autoZero"/>
        <c:crossBetween val="midCat"/>
      </c:valAx>
      <c:valAx>
        <c:axId val="143866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658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(Hitungan)'!$AC$55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9877455394445"/>
                  <c:y val="-0.263285961563137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(Hitungan)'!$AB$56:$AB$60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(Hitungan)'!$AC$56:$AC$60</c:f>
              <c:numCache>
                <c:formatCode>0.00</c:formatCode>
                <c:ptCount val="5"/>
                <c:pt idx="0">
                  <c:v>31.630971993410213</c:v>
                </c:pt>
                <c:pt idx="1">
                  <c:v>32.948929159802304</c:v>
                </c:pt>
                <c:pt idx="2">
                  <c:v>34.4316309719934</c:v>
                </c:pt>
                <c:pt idx="3">
                  <c:v>36.902800658978585</c:v>
                </c:pt>
                <c:pt idx="4">
                  <c:v>38.38550247116968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7D-4643-A461-E55307BE5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784559"/>
        <c:axId val="1486808271"/>
      </c:scatterChart>
      <c:valAx>
        <c:axId val="148678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08271"/>
        <c:crosses val="autoZero"/>
        <c:crossBetween val="midCat"/>
      </c:valAx>
      <c:valAx>
        <c:axId val="148680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78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(Hitungan)'!$AC$68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20997553549963"/>
                  <c:y val="-0.248249369288084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(Hitungan)'!$AB$69:$AB$73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(Hitungan)'!$AC$69:$AC$73</c:f>
              <c:numCache>
                <c:formatCode>0.00</c:formatCode>
                <c:ptCount val="5"/>
                <c:pt idx="0">
                  <c:v>32.125205930807248</c:v>
                </c:pt>
                <c:pt idx="1">
                  <c:v>34.102141680395384</c:v>
                </c:pt>
                <c:pt idx="2">
                  <c:v>38.879736408566721</c:v>
                </c:pt>
                <c:pt idx="3">
                  <c:v>39.209225700164744</c:v>
                </c:pt>
                <c:pt idx="4">
                  <c:v>42.174629324546956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77-4E51-98EE-BC6D493D0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920559"/>
        <c:axId val="1489901839"/>
      </c:scatterChart>
      <c:valAx>
        <c:axId val="148992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01839"/>
        <c:crosses val="autoZero"/>
        <c:crossBetween val="midCat"/>
      </c:valAx>
      <c:valAx>
        <c:axId val="148990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20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(Hitungan)'!$AC$81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224062094891343"/>
                  <c:y val="-0.282594397346344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(Hitungan)'!$AB$82:$AB$86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(Hitungan)'!$AC$82:$AC$86</c:f>
              <c:numCache>
                <c:formatCode>0.00</c:formatCode>
                <c:ptCount val="5"/>
                <c:pt idx="0">
                  <c:v>32.7841845140033</c:v>
                </c:pt>
                <c:pt idx="1">
                  <c:v>33.113673805601309</c:v>
                </c:pt>
                <c:pt idx="2">
                  <c:v>33.772652388797361</c:v>
                </c:pt>
                <c:pt idx="3">
                  <c:v>34.76112026359143</c:v>
                </c:pt>
                <c:pt idx="4">
                  <c:v>37.067545304777589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CB-4B8E-8EB5-0122C46C6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900175"/>
        <c:axId val="1489910991"/>
      </c:scatterChart>
      <c:valAx>
        <c:axId val="1489900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10991"/>
        <c:crosses val="autoZero"/>
        <c:crossBetween val="midCat"/>
      </c:valAx>
      <c:valAx>
        <c:axId val="1489910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00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(Hitungan)'!$AC$94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306467102747676"/>
                  <c:y val="-0.242825968444592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(Hitungan)'!$AB$95:$AB$99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(Hitungan)'!$AC$95:$AC$99</c:f>
              <c:numCache>
                <c:formatCode>0.00</c:formatCode>
                <c:ptCount val="5"/>
                <c:pt idx="0">
                  <c:v>32.289950576606266</c:v>
                </c:pt>
                <c:pt idx="1">
                  <c:v>34.4316309719934</c:v>
                </c:pt>
                <c:pt idx="2">
                  <c:v>37.397034596375619</c:v>
                </c:pt>
                <c:pt idx="3">
                  <c:v>44.810543657331131</c:v>
                </c:pt>
                <c:pt idx="4">
                  <c:v>46.787479406919275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9F-4A70-AC30-70ABA7961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559263"/>
        <c:axId val="1368559679"/>
      </c:scatterChart>
      <c:valAx>
        <c:axId val="1368559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9679"/>
        <c:crosses val="autoZero"/>
        <c:crossBetween val="midCat"/>
      </c:valAx>
      <c:valAx>
        <c:axId val="136855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9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(Hitungan)'!$AC$107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241690845544927"/>
                  <c:y val="-0.490144670129387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(Hitungan)'!$AB$108:$AB$112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(Hitungan)'!$AC$108:$AC$112</c:f>
              <c:numCache>
                <c:formatCode>0.00</c:formatCode>
                <c:ptCount val="5"/>
                <c:pt idx="0">
                  <c:v>32.948929159802304</c:v>
                </c:pt>
                <c:pt idx="1">
                  <c:v>33.607907742998343</c:v>
                </c:pt>
                <c:pt idx="2">
                  <c:v>35.914332784184509</c:v>
                </c:pt>
                <c:pt idx="3">
                  <c:v>36.079077429983521</c:v>
                </c:pt>
                <c:pt idx="4">
                  <c:v>38.550247116968698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F2-4667-9F33-71848AE72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551359"/>
        <c:axId val="1368558847"/>
      </c:scatterChart>
      <c:valAx>
        <c:axId val="136855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8847"/>
        <c:crosses val="autoZero"/>
        <c:crossBetween val="midCat"/>
      </c:valAx>
      <c:valAx>
        <c:axId val="1368558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(Hitungan)'!$AP$3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26535652794994"/>
                  <c:y val="-0.25741507956672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(Hitungan)'!$AO$4:$AO$8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(Hitungan)'!$AP$4:$AP$8</c:f>
              <c:numCache>
                <c:formatCode>0.00</c:formatCode>
                <c:ptCount val="5"/>
                <c:pt idx="0">
                  <c:v>20.428336079077432</c:v>
                </c:pt>
                <c:pt idx="1">
                  <c:v>27.018121911037891</c:v>
                </c:pt>
                <c:pt idx="2">
                  <c:v>27.841845140032948</c:v>
                </c:pt>
                <c:pt idx="3">
                  <c:v>30.807248764415156</c:v>
                </c:pt>
                <c:pt idx="4">
                  <c:v>35.914332784184509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FF-40A0-8261-78ADB140A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287807"/>
        <c:axId val="520295711"/>
      </c:scatterChart>
      <c:valAx>
        <c:axId val="520287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295711"/>
        <c:crosses val="autoZero"/>
        <c:crossBetween val="midCat"/>
      </c:valAx>
      <c:valAx>
        <c:axId val="52029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287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(Hitungan)'!$P$16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595455758275968"/>
                  <c:y val="-0.251670840316873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(Hitungan)'!$O$17:$O$21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(Hitungan)'!$P$17:$P$21</c:f>
              <c:numCache>
                <c:formatCode>0.00</c:formatCode>
                <c:ptCount val="5"/>
                <c:pt idx="0">
                  <c:v>37.397034596375619</c:v>
                </c:pt>
                <c:pt idx="1">
                  <c:v>37.726523887973642</c:v>
                </c:pt>
                <c:pt idx="2">
                  <c:v>38.220757825370676</c:v>
                </c:pt>
                <c:pt idx="3">
                  <c:v>39.373970345963755</c:v>
                </c:pt>
                <c:pt idx="4">
                  <c:v>42.174629324546956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1A-4C5B-BF20-46A40EF57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323055"/>
        <c:axId val="1433321391"/>
      </c:scatterChart>
      <c:valAx>
        <c:axId val="1433323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321391"/>
        <c:crosses val="autoZero"/>
        <c:crossBetween val="midCat"/>
      </c:valAx>
      <c:valAx>
        <c:axId val="143332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323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(Hitungan)'!$P$29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13520260070067"/>
                  <c:y val="-0.258456249869768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(Hitungan)'!$O$30:$O$34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(Hitungan)'!$P$30:$P$34</c:f>
              <c:numCache>
                <c:formatCode>0.00</c:formatCode>
                <c:ptCount val="5"/>
                <c:pt idx="0">
                  <c:v>38.71499176276771</c:v>
                </c:pt>
                <c:pt idx="1">
                  <c:v>39.538714991762767</c:v>
                </c:pt>
                <c:pt idx="2">
                  <c:v>39.868204283360789</c:v>
                </c:pt>
                <c:pt idx="3">
                  <c:v>40.691927512355846</c:v>
                </c:pt>
                <c:pt idx="4">
                  <c:v>41.350906095551899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1C-4BC0-99EE-2ED790FB9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7621663"/>
        <c:axId val="1297622495"/>
      </c:scatterChart>
      <c:valAx>
        <c:axId val="1297621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622495"/>
        <c:crosses val="autoZero"/>
        <c:crossBetween val="midCat"/>
      </c:valAx>
      <c:valAx>
        <c:axId val="129762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621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(Hitungan)'!$P$42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111528115060384"/>
                  <c:y val="-0.62485436034854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(Hitungan)'!$O$43:$O$47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(Hitungan)'!$P$43:$P$47</c:f>
              <c:numCache>
                <c:formatCode>0.00</c:formatCode>
                <c:ptCount val="5"/>
                <c:pt idx="0">
                  <c:v>33.27841845140032</c:v>
                </c:pt>
                <c:pt idx="1">
                  <c:v>33.443163097199339</c:v>
                </c:pt>
                <c:pt idx="2">
                  <c:v>35.255354200988464</c:v>
                </c:pt>
                <c:pt idx="3">
                  <c:v>35.584843492586486</c:v>
                </c:pt>
                <c:pt idx="4">
                  <c:v>38.220757825370676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68-4DC7-AAB6-21F3EEBA1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1281023"/>
        <c:axId val="1361278943"/>
      </c:scatterChart>
      <c:valAx>
        <c:axId val="1361281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278943"/>
        <c:crosses val="autoZero"/>
        <c:crossBetween val="midCat"/>
      </c:valAx>
      <c:valAx>
        <c:axId val="136127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281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(Hitungan)'!$P$55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73853364863006"/>
                  <c:y val="-0.268878424702589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(Hitungan)'!$O$56:$O$60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(Hitungan)'!$P$56:$P$60</c:f>
              <c:numCache>
                <c:formatCode>0.00</c:formatCode>
                <c:ptCount val="5"/>
                <c:pt idx="0">
                  <c:v>37.067545304777589</c:v>
                </c:pt>
                <c:pt idx="1">
                  <c:v>37.726523887973642</c:v>
                </c:pt>
                <c:pt idx="2">
                  <c:v>38.550247116968698</c:v>
                </c:pt>
                <c:pt idx="3">
                  <c:v>39.209225700164744</c:v>
                </c:pt>
                <c:pt idx="4">
                  <c:v>42.33937397034596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BF-47C9-B581-0189403F8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550111"/>
        <c:axId val="1368551775"/>
      </c:scatterChart>
      <c:valAx>
        <c:axId val="1368550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1775"/>
        <c:crosses val="autoZero"/>
        <c:crossBetween val="midCat"/>
      </c:valAx>
      <c:valAx>
        <c:axId val="136855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5501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(Hitungan)'!$P$68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192108495303332"/>
                  <c:y val="-0.261253064089866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(Hitungan)'!$O$69:$O$73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(Hitungan)'!$P$69:$P$73</c:f>
              <c:numCache>
                <c:formatCode>0.00</c:formatCode>
                <c:ptCount val="5"/>
                <c:pt idx="0">
                  <c:v>25.205930807248759</c:v>
                </c:pt>
                <c:pt idx="1">
                  <c:v>30.642504118616149</c:v>
                </c:pt>
                <c:pt idx="2">
                  <c:v>30.971993410214171</c:v>
                </c:pt>
                <c:pt idx="3">
                  <c:v>32.289950576606266</c:v>
                </c:pt>
                <c:pt idx="4">
                  <c:v>34.596375617792418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6C-4195-9E98-63016245E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667567"/>
        <c:axId val="1357660911"/>
      </c:scatterChart>
      <c:valAx>
        <c:axId val="1357667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660911"/>
        <c:crosses val="autoZero"/>
        <c:crossBetween val="midCat"/>
      </c:valAx>
      <c:valAx>
        <c:axId val="135766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667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(Hitungan)'!$P$81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851443569553807"/>
                  <c:y val="-0.451959175640104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(Hitungan)'!$O$82:$O$86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(Hitungan)'!$P$82:$P$86</c:f>
              <c:numCache>
                <c:formatCode>0.00</c:formatCode>
                <c:ptCount val="5"/>
                <c:pt idx="0">
                  <c:v>30.971993410214171</c:v>
                </c:pt>
                <c:pt idx="1">
                  <c:v>30.971993410214171</c:v>
                </c:pt>
                <c:pt idx="2">
                  <c:v>31.466227347611206</c:v>
                </c:pt>
                <c:pt idx="3">
                  <c:v>35.255354200988464</c:v>
                </c:pt>
                <c:pt idx="4">
                  <c:v>36.079077429983521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05-4F75-BE33-031878550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309887"/>
        <c:axId val="1209506751"/>
      </c:scatterChart>
      <c:valAx>
        <c:axId val="1356309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506751"/>
        <c:crosses val="autoZero"/>
        <c:crossBetween val="midCat"/>
      </c:valAx>
      <c:valAx>
        <c:axId val="120950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309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'Antioksidan (Hitungan)'!$P$94</c:f>
              <c:strCache>
                <c:ptCount val="1"/>
                <c:pt idx="0">
                  <c:v>% Inhibisi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748766807509721"/>
                  <c:y val="-0.269286242808929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'Antioksidan (Hitungan)'!$O$95:$O$99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'Antioksidan (Hitungan)'!$P$95:$P$99</c:f>
              <c:numCache>
                <c:formatCode>0.00</c:formatCode>
                <c:ptCount val="5"/>
                <c:pt idx="0">
                  <c:v>31.630971993410213</c:v>
                </c:pt>
                <c:pt idx="1">
                  <c:v>32.7841845140033</c:v>
                </c:pt>
                <c:pt idx="2">
                  <c:v>33.607907742998343</c:v>
                </c:pt>
                <c:pt idx="3">
                  <c:v>34.76112026359143</c:v>
                </c:pt>
                <c:pt idx="4">
                  <c:v>35.090609555189452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5A-49F1-B379-3723F0DB8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664239"/>
        <c:axId val="1356309887"/>
      </c:scatterChart>
      <c:valAx>
        <c:axId val="1357664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309887"/>
        <c:crosses val="autoZero"/>
        <c:crossBetween val="midCat"/>
      </c:valAx>
      <c:valAx>
        <c:axId val="135630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664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18" Type="http://schemas.openxmlformats.org/officeDocument/2006/relationships/chart" Target="../charts/chart19.xml"/><Relationship Id="rId26" Type="http://schemas.openxmlformats.org/officeDocument/2006/relationships/chart" Target="../charts/chart27.xml"/><Relationship Id="rId3" Type="http://schemas.openxmlformats.org/officeDocument/2006/relationships/chart" Target="../charts/chart4.xml"/><Relationship Id="rId21" Type="http://schemas.openxmlformats.org/officeDocument/2006/relationships/chart" Target="../charts/chart22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17" Type="http://schemas.openxmlformats.org/officeDocument/2006/relationships/chart" Target="../charts/chart18.xml"/><Relationship Id="rId25" Type="http://schemas.openxmlformats.org/officeDocument/2006/relationships/chart" Target="../charts/chart26.xml"/><Relationship Id="rId2" Type="http://schemas.openxmlformats.org/officeDocument/2006/relationships/chart" Target="../charts/chart3.xml"/><Relationship Id="rId16" Type="http://schemas.openxmlformats.org/officeDocument/2006/relationships/chart" Target="../charts/chart17.xml"/><Relationship Id="rId20" Type="http://schemas.openxmlformats.org/officeDocument/2006/relationships/chart" Target="../charts/chart21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24" Type="http://schemas.openxmlformats.org/officeDocument/2006/relationships/chart" Target="../charts/chart25.xml"/><Relationship Id="rId5" Type="http://schemas.openxmlformats.org/officeDocument/2006/relationships/chart" Target="../charts/chart6.xml"/><Relationship Id="rId15" Type="http://schemas.openxmlformats.org/officeDocument/2006/relationships/chart" Target="../charts/chart16.xml"/><Relationship Id="rId23" Type="http://schemas.openxmlformats.org/officeDocument/2006/relationships/chart" Target="../charts/chart24.xml"/><Relationship Id="rId28" Type="http://schemas.openxmlformats.org/officeDocument/2006/relationships/chart" Target="../charts/chart29.xml"/><Relationship Id="rId10" Type="http://schemas.openxmlformats.org/officeDocument/2006/relationships/chart" Target="../charts/chart11.xml"/><Relationship Id="rId19" Type="http://schemas.openxmlformats.org/officeDocument/2006/relationships/chart" Target="../charts/chart20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Relationship Id="rId22" Type="http://schemas.openxmlformats.org/officeDocument/2006/relationships/chart" Target="../charts/chart23.xml"/><Relationship Id="rId27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37110</xdr:colOff>
      <xdr:row>13</xdr:row>
      <xdr:rowOff>12370</xdr:rowOff>
    </xdr:from>
    <xdr:to>
      <xdr:col>21</xdr:col>
      <xdr:colOff>865086</xdr:colOff>
      <xdr:row>20</xdr:row>
      <xdr:rowOff>20238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295647E-970E-4F76-9916-87E332DAD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20454" y="2572987"/>
          <a:ext cx="5590476" cy="1380952"/>
        </a:xfrm>
        <a:prstGeom prst="rect">
          <a:avLst/>
        </a:prstGeom>
      </xdr:spPr>
    </xdr:pic>
    <xdr:clientData/>
  </xdr:twoCellAnchor>
  <xdr:twoCellAnchor editAs="oneCell">
    <xdr:from>
      <xdr:col>13</xdr:col>
      <xdr:colOff>12369</xdr:colOff>
      <xdr:row>34</xdr:row>
      <xdr:rowOff>12371</xdr:rowOff>
    </xdr:from>
    <xdr:to>
      <xdr:col>19</xdr:col>
      <xdr:colOff>1366990</xdr:colOff>
      <xdr:row>51</xdr:row>
      <xdr:rowOff>20877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8FC42CE-660D-4147-80CA-D042309DA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44447" y="6679871"/>
          <a:ext cx="7180952" cy="320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46088</xdr:colOff>
      <xdr:row>13</xdr:row>
      <xdr:rowOff>15362</xdr:rowOff>
    </xdr:from>
    <xdr:to>
      <xdr:col>21</xdr:col>
      <xdr:colOff>874064</xdr:colOff>
      <xdr:row>20</xdr:row>
      <xdr:rowOff>13653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B21E98-D8CB-4DFE-8A87-67EACCB33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48669" y="2596330"/>
          <a:ext cx="5590476" cy="1380952"/>
        </a:xfrm>
        <a:prstGeom prst="rect">
          <a:avLst/>
        </a:prstGeom>
      </xdr:spPr>
    </xdr:pic>
    <xdr:clientData/>
  </xdr:twoCellAnchor>
  <xdr:twoCellAnchor editAs="oneCell">
    <xdr:from>
      <xdr:col>13</xdr:col>
      <xdr:colOff>30726</xdr:colOff>
      <xdr:row>34</xdr:row>
      <xdr:rowOff>15362</xdr:rowOff>
    </xdr:from>
    <xdr:to>
      <xdr:col>19</xdr:col>
      <xdr:colOff>269012</xdr:colOff>
      <xdr:row>45</xdr:row>
      <xdr:rowOff>160418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01DAB8-1FD1-4B3D-8F41-9B2DDA6FE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76653" y="6728951"/>
          <a:ext cx="6076190" cy="22190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13415</xdr:colOff>
      <xdr:row>12</xdr:row>
      <xdr:rowOff>157388</xdr:rowOff>
    </xdr:from>
    <xdr:to>
      <xdr:col>22</xdr:col>
      <xdr:colOff>58579</xdr:colOff>
      <xdr:row>19</xdr:row>
      <xdr:rowOff>152652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B795778-7B2A-44BB-BFED-653A294E4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20188" y="2560789"/>
          <a:ext cx="5726938" cy="1379712"/>
        </a:xfrm>
        <a:prstGeom prst="rect">
          <a:avLst/>
        </a:prstGeom>
      </xdr:spPr>
    </xdr:pic>
    <xdr:clientData/>
  </xdr:twoCellAnchor>
  <xdr:twoCellAnchor editAs="oneCell">
    <xdr:from>
      <xdr:col>13</xdr:col>
      <xdr:colOff>13415</xdr:colOff>
      <xdr:row>34</xdr:row>
      <xdr:rowOff>13415</xdr:rowOff>
    </xdr:from>
    <xdr:to>
      <xdr:col>19</xdr:col>
      <xdr:colOff>433078</xdr:colOff>
      <xdr:row>45</xdr:row>
      <xdr:rowOff>93767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F9A765C-EE35-4A38-9325-D185B08AC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76338" y="6801654"/>
          <a:ext cx="6228571" cy="2200000"/>
        </a:xfrm>
        <a:prstGeom prst="rect">
          <a:avLst/>
        </a:prstGeom>
      </xdr:spPr>
    </xdr:pic>
    <xdr:clientData/>
  </xdr:twoCellAnchor>
  <xdr:twoCellAnchor>
    <xdr:from>
      <xdr:col>37</xdr:col>
      <xdr:colOff>0</xdr:colOff>
      <xdr:row>2</xdr:row>
      <xdr:rowOff>3571</xdr:rowOff>
    </xdr:from>
    <xdr:to>
      <xdr:col>44</xdr:col>
      <xdr:colOff>321469</xdr:colOff>
      <xdr:row>15</xdr:row>
      <xdr:rowOff>103584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0405B4D-201C-4064-A270-A843202AF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27608</xdr:colOff>
      <xdr:row>13</xdr:row>
      <xdr:rowOff>13805</xdr:rowOff>
    </xdr:from>
    <xdr:to>
      <xdr:col>22</xdr:col>
      <xdr:colOff>115926</xdr:colOff>
      <xdr:row>20</xdr:row>
      <xdr:rowOff>89550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4C5D07-7835-4105-BB85-873290C6E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143369" y="2526196"/>
          <a:ext cx="5761905" cy="1428571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23813</xdr:colOff>
      <xdr:row>34</xdr:row>
      <xdr:rowOff>0</xdr:rowOff>
    </xdr:from>
    <xdr:to>
      <xdr:col>19</xdr:col>
      <xdr:colOff>1325465</xdr:colOff>
      <xdr:row>50</xdr:row>
      <xdr:rowOff>125805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7965ECA-D4F7-4BF8-BA65-A59EBE968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03844" y="6810375"/>
          <a:ext cx="7123809" cy="32095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590550</xdr:colOff>
      <xdr:row>2</xdr:row>
      <xdr:rowOff>4762</xdr:rowOff>
    </xdr:from>
    <xdr:to>
      <xdr:col>24</xdr:col>
      <xdr:colOff>0</xdr:colOff>
      <xdr:row>11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D78F43-1A0F-48B8-9495-11594AF714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9525</xdr:colOff>
      <xdr:row>14</xdr:row>
      <xdr:rowOff>185737</xdr:rowOff>
    </xdr:from>
    <xdr:to>
      <xdr:col>24</xdr:col>
      <xdr:colOff>28575</xdr:colOff>
      <xdr:row>24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FC8F42-86AA-49FA-86BB-D624946721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600075</xdr:colOff>
      <xdr:row>27</xdr:row>
      <xdr:rowOff>185736</xdr:rowOff>
    </xdr:from>
    <xdr:to>
      <xdr:col>23</xdr:col>
      <xdr:colOff>590550</xdr:colOff>
      <xdr:row>37</xdr:row>
      <xdr:rowOff>152399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E7DCE6-D750-47D3-9A21-D90E4F6CAF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9525</xdr:colOff>
      <xdr:row>41</xdr:row>
      <xdr:rowOff>4762</xdr:rowOff>
    </xdr:from>
    <xdr:to>
      <xdr:col>24</xdr:col>
      <xdr:colOff>19050</xdr:colOff>
      <xdr:row>51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12C5F8-E523-4389-A68E-8FFF553281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14286</xdr:colOff>
      <xdr:row>54</xdr:row>
      <xdr:rowOff>4762</xdr:rowOff>
    </xdr:from>
    <xdr:to>
      <xdr:col>24</xdr:col>
      <xdr:colOff>19049</xdr:colOff>
      <xdr:row>64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3953C33-ABBD-47E0-88C3-DC7F9EF980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67</xdr:row>
      <xdr:rowOff>14287</xdr:rowOff>
    </xdr:from>
    <xdr:to>
      <xdr:col>23</xdr:col>
      <xdr:colOff>590550</xdr:colOff>
      <xdr:row>77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57909D3-688B-4CAC-874D-187025B21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1</xdr:colOff>
      <xdr:row>80</xdr:row>
      <xdr:rowOff>4762</xdr:rowOff>
    </xdr:from>
    <xdr:to>
      <xdr:col>24</xdr:col>
      <xdr:colOff>1</xdr:colOff>
      <xdr:row>90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7FC88C4-EA22-4A6C-AA7F-9994CCCDC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4762</xdr:colOff>
      <xdr:row>93</xdr:row>
      <xdr:rowOff>4761</xdr:rowOff>
    </xdr:from>
    <xdr:to>
      <xdr:col>24</xdr:col>
      <xdr:colOff>0</xdr:colOff>
      <xdr:row>102</xdr:row>
      <xdr:rowOff>180974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592B782-6683-4887-9770-0B28026340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604837</xdr:colOff>
      <xdr:row>106</xdr:row>
      <xdr:rowOff>4762</xdr:rowOff>
    </xdr:from>
    <xdr:to>
      <xdr:col>24</xdr:col>
      <xdr:colOff>9525</xdr:colOff>
      <xdr:row>116</xdr:row>
      <xdr:rowOff>19050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2FBE7F6-CDCA-4B8C-A42D-6D9A9DA394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588925</xdr:colOff>
      <xdr:row>2</xdr:row>
      <xdr:rowOff>4876</xdr:rowOff>
    </xdr:from>
    <xdr:to>
      <xdr:col>11</xdr:col>
      <xdr:colOff>0</xdr:colOff>
      <xdr:row>11</xdr:row>
      <xdr:rowOff>185852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0845E98-A878-4F45-85F7-C438835A5E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2322</xdr:colOff>
      <xdr:row>15</xdr:row>
      <xdr:rowOff>4877</xdr:rowOff>
    </xdr:from>
    <xdr:to>
      <xdr:col>11</xdr:col>
      <xdr:colOff>11616</xdr:colOff>
      <xdr:row>25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78B53237-828B-4693-8443-0B666E667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13939</xdr:colOff>
      <xdr:row>28</xdr:row>
      <xdr:rowOff>16493</xdr:rowOff>
    </xdr:from>
    <xdr:to>
      <xdr:col>11</xdr:col>
      <xdr:colOff>23231</xdr:colOff>
      <xdr:row>38</xdr:row>
      <xdr:rowOff>23231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B2D120BC-B6FB-4761-9A9A-DE778A1AC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2323</xdr:colOff>
      <xdr:row>41</xdr:row>
      <xdr:rowOff>4877</xdr:rowOff>
    </xdr:from>
    <xdr:to>
      <xdr:col>11</xdr:col>
      <xdr:colOff>-1</xdr:colOff>
      <xdr:row>51</xdr:row>
      <xdr:rowOff>-1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F0D7A9C-4A96-46FA-B147-9051106D7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13939</xdr:colOff>
      <xdr:row>54</xdr:row>
      <xdr:rowOff>16492</xdr:rowOff>
    </xdr:from>
    <xdr:to>
      <xdr:col>11</xdr:col>
      <xdr:colOff>11615</xdr:colOff>
      <xdr:row>63</xdr:row>
      <xdr:rowOff>174238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9705D9C-4D95-4D23-8E8D-10BAB53E7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565692</xdr:colOff>
      <xdr:row>65</xdr:row>
      <xdr:rowOff>155884</xdr:rowOff>
    </xdr:from>
    <xdr:to>
      <xdr:col>11</xdr:col>
      <xdr:colOff>0</xdr:colOff>
      <xdr:row>77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8B1345B-4664-4A58-8215-731CC175F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134</xdr:colOff>
      <xdr:row>80</xdr:row>
      <xdr:rowOff>18682</xdr:rowOff>
    </xdr:from>
    <xdr:to>
      <xdr:col>11</xdr:col>
      <xdr:colOff>9427</xdr:colOff>
      <xdr:row>90</xdr:row>
      <xdr:rowOff>188042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B258FA8E-711F-4AD4-B6B8-AA48419EED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600540</xdr:colOff>
      <xdr:row>93</xdr:row>
      <xdr:rowOff>4878</xdr:rowOff>
    </xdr:from>
    <xdr:to>
      <xdr:col>11</xdr:col>
      <xdr:colOff>11615</xdr:colOff>
      <xdr:row>103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6F9DD02-5ED6-4635-87E0-A14EAB0823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2323</xdr:colOff>
      <xdr:row>106</xdr:row>
      <xdr:rowOff>4878</xdr:rowOff>
    </xdr:from>
    <xdr:to>
      <xdr:col>11</xdr:col>
      <xdr:colOff>0</xdr:colOff>
      <xdr:row>116</xdr:row>
      <xdr:rowOff>11616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946948EA-70AE-45C0-BB06-6B55802B3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31</xdr:col>
      <xdr:colOff>606010</xdr:colOff>
      <xdr:row>1</xdr:row>
      <xdr:rowOff>160683</xdr:rowOff>
    </xdr:from>
    <xdr:to>
      <xdr:col>36</xdr:col>
      <xdr:colOff>607390</xdr:colOff>
      <xdr:row>12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DCBCAAA-3BAE-4B59-BE12-266965D7E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32</xdr:col>
      <xdr:colOff>5954</xdr:colOff>
      <xdr:row>15</xdr:row>
      <xdr:rowOff>7541</xdr:rowOff>
    </xdr:from>
    <xdr:to>
      <xdr:col>37</xdr:col>
      <xdr:colOff>9922</xdr:colOff>
      <xdr:row>24</xdr:row>
      <xdr:rowOff>178594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D19DAC7-B39C-4840-AE8F-DEE6E6367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5952</xdr:colOff>
      <xdr:row>27</xdr:row>
      <xdr:rowOff>186134</xdr:rowOff>
    </xdr:from>
    <xdr:to>
      <xdr:col>37</xdr:col>
      <xdr:colOff>19843</xdr:colOff>
      <xdr:row>38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1198173-9ACB-47DF-B487-69FF57503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32</xdr:col>
      <xdr:colOff>5952</xdr:colOff>
      <xdr:row>40</xdr:row>
      <xdr:rowOff>186134</xdr:rowOff>
    </xdr:from>
    <xdr:to>
      <xdr:col>36</xdr:col>
      <xdr:colOff>605234</xdr:colOff>
      <xdr:row>50</xdr:row>
      <xdr:rowOff>178594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1C385DE8-4AC9-4BE3-99A3-128C6B9D5C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31</xdr:col>
      <xdr:colOff>601266</xdr:colOff>
      <xdr:row>53</xdr:row>
      <xdr:rowOff>186135</xdr:rowOff>
    </xdr:from>
    <xdr:to>
      <xdr:col>37</xdr:col>
      <xdr:colOff>1</xdr:colOff>
      <xdr:row>64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4D9B174E-A552-437F-9FE6-7D57E4AEE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31</xdr:col>
      <xdr:colOff>601265</xdr:colOff>
      <xdr:row>67</xdr:row>
      <xdr:rowOff>7541</xdr:rowOff>
    </xdr:from>
    <xdr:to>
      <xdr:col>36</xdr:col>
      <xdr:colOff>595313</xdr:colOff>
      <xdr:row>77</xdr:row>
      <xdr:rowOff>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1A716CB5-EBE8-4AED-862C-421453E020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31</xdr:col>
      <xdr:colOff>601265</xdr:colOff>
      <xdr:row>79</xdr:row>
      <xdr:rowOff>186135</xdr:rowOff>
    </xdr:from>
    <xdr:to>
      <xdr:col>37</xdr:col>
      <xdr:colOff>0</xdr:colOff>
      <xdr:row>89</xdr:row>
      <xdr:rowOff>178593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B279B3B8-9365-46C0-B51D-D20AFCAC4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32</xdr:col>
      <xdr:colOff>5953</xdr:colOff>
      <xdr:row>93</xdr:row>
      <xdr:rowOff>7540</xdr:rowOff>
    </xdr:from>
    <xdr:to>
      <xdr:col>36</xdr:col>
      <xdr:colOff>595313</xdr:colOff>
      <xdr:row>103</xdr:row>
      <xdr:rowOff>9921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8CD29DA3-BB82-4914-8C3C-BB2981720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32</xdr:col>
      <xdr:colOff>6280</xdr:colOff>
      <xdr:row>106</xdr:row>
      <xdr:rowOff>10048</xdr:rowOff>
    </xdr:from>
    <xdr:to>
      <xdr:col>37</xdr:col>
      <xdr:colOff>0</xdr:colOff>
      <xdr:row>116</xdr:row>
      <xdr:rowOff>62802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6EDE2AF6-5DC6-463F-BF9B-41A2B8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45</xdr:col>
      <xdr:colOff>6457</xdr:colOff>
      <xdr:row>2</xdr:row>
      <xdr:rowOff>8718</xdr:rowOff>
    </xdr:from>
    <xdr:to>
      <xdr:col>50</xdr:col>
      <xdr:colOff>8072</xdr:colOff>
      <xdr:row>12</xdr:row>
      <xdr:rowOff>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3076B741-89C0-4C95-94D5-E4B61561F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26831</xdr:colOff>
      <xdr:row>13</xdr:row>
      <xdr:rowOff>67077</xdr:rowOff>
    </xdr:from>
    <xdr:to>
      <xdr:col>22</xdr:col>
      <xdr:colOff>5329</xdr:colOff>
      <xdr:row>20</xdr:row>
      <xdr:rowOff>52818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F7A2D20-F2AF-4DCA-935F-E7AA485E0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77782" y="2669683"/>
          <a:ext cx="5666667" cy="13809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13412</xdr:colOff>
      <xdr:row>13</xdr:row>
      <xdr:rowOff>13415</xdr:rowOff>
    </xdr:from>
    <xdr:to>
      <xdr:col>22</xdr:col>
      <xdr:colOff>10957</xdr:colOff>
      <xdr:row>20</xdr:row>
      <xdr:rowOff>18204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A2FAD3-A5C5-45C6-9553-E1CC4A690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64363" y="2616021"/>
          <a:ext cx="5685714" cy="1400000"/>
        </a:xfrm>
        <a:prstGeom prst="rect">
          <a:avLst/>
        </a:prstGeom>
      </xdr:spPr>
    </xdr:pic>
    <xdr:clientData/>
  </xdr:twoCellAnchor>
  <xdr:twoCellAnchor editAs="oneCell">
    <xdr:from>
      <xdr:col>13</xdr:col>
      <xdr:colOff>13415</xdr:colOff>
      <xdr:row>34</xdr:row>
      <xdr:rowOff>26832</xdr:rowOff>
    </xdr:from>
    <xdr:to>
      <xdr:col>19</xdr:col>
      <xdr:colOff>194983</xdr:colOff>
      <xdr:row>45</xdr:row>
      <xdr:rowOff>111075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DBC448-56FA-46B2-B765-00EE4C815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00" y="6788240"/>
          <a:ext cx="5990476" cy="21904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13</xdr:row>
      <xdr:rowOff>12700</xdr:rowOff>
    </xdr:from>
    <xdr:to>
      <xdr:col>21</xdr:col>
      <xdr:colOff>824800</xdr:colOff>
      <xdr:row>19</xdr:row>
      <xdr:rowOff>187152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7279BBA-9EBB-4E0F-8C57-3FEEBEEC1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78000" y="2641600"/>
          <a:ext cx="5600000" cy="1380952"/>
        </a:xfrm>
        <a:prstGeom prst="rect">
          <a:avLst/>
        </a:prstGeom>
      </xdr:spPr>
    </xdr:pic>
    <xdr:clientData/>
  </xdr:twoCellAnchor>
  <xdr:twoCellAnchor editAs="oneCell">
    <xdr:from>
      <xdr:col>13</xdr:col>
      <xdr:colOff>28657</xdr:colOff>
      <xdr:row>34</xdr:row>
      <xdr:rowOff>29347</xdr:rowOff>
    </xdr:from>
    <xdr:to>
      <xdr:col>19</xdr:col>
      <xdr:colOff>227928</xdr:colOff>
      <xdr:row>45</xdr:row>
      <xdr:rowOff>73524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12EA9D0-4107-43AD-8CF6-0B3A83445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64957" y="6861947"/>
          <a:ext cx="6028571" cy="21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A2745-B341-40E6-BC62-6A50B4725DF7}">
  <dimension ref="B1:AA63"/>
  <sheetViews>
    <sheetView topLeftCell="I1" zoomScale="70" zoomScaleNormal="70" workbookViewId="0">
      <selection activeCell="I14" sqref="I14:P21"/>
    </sheetView>
  </sheetViews>
  <sheetFormatPr defaultRowHeight="15" x14ac:dyDescent="0.25"/>
  <cols>
    <col min="2" max="2" width="13.85546875" customWidth="1"/>
    <col min="3" max="3" width="12.7109375" customWidth="1"/>
    <col min="6" max="6" width="11" bestFit="1" customWidth="1"/>
    <col min="7" max="7" width="13.5703125" bestFit="1" customWidth="1"/>
    <col min="8" max="8" width="13.140625" bestFit="1" customWidth="1"/>
    <col min="9" max="9" width="23.42578125" bestFit="1" customWidth="1"/>
    <col min="10" max="10" width="12.140625" customWidth="1"/>
    <col min="11" max="11" width="21.7109375" customWidth="1"/>
    <col min="12" max="12" width="8.7109375" customWidth="1"/>
    <col min="13" max="13" width="11" bestFit="1" customWidth="1"/>
    <col min="14" max="14" width="13.5703125" bestFit="1" customWidth="1"/>
    <col min="15" max="15" width="16.42578125" bestFit="1" customWidth="1"/>
    <col min="16" max="16" width="12.5703125" customWidth="1"/>
    <col min="19" max="19" width="26.5703125" bestFit="1" customWidth="1"/>
    <col min="20" max="20" width="25.140625" bestFit="1" customWidth="1"/>
    <col min="21" max="21" width="10.5703125" bestFit="1" customWidth="1"/>
    <col min="22" max="22" width="13.85546875" bestFit="1" customWidth="1"/>
    <col min="24" max="24" width="26.5703125" bestFit="1" customWidth="1"/>
    <col min="25" max="25" width="25.140625" bestFit="1" customWidth="1"/>
    <col min="26" max="27" width="10.85546875" bestFit="1" customWidth="1"/>
    <col min="28" max="28" width="6.140625" bestFit="1" customWidth="1"/>
  </cols>
  <sheetData>
    <row r="1" spans="2:27" ht="15.75" x14ac:dyDescent="0.25">
      <c r="H1" s="29"/>
      <c r="I1" s="57" t="s">
        <v>106</v>
      </c>
      <c r="J1" s="58"/>
      <c r="K1" s="36"/>
      <c r="L1" s="36"/>
      <c r="M1" s="36"/>
      <c r="N1" s="36"/>
      <c r="O1" s="59"/>
      <c r="P1" s="36"/>
      <c r="Q1" s="36"/>
      <c r="R1" s="15"/>
      <c r="X1" s="176" t="s">
        <v>163</v>
      </c>
      <c r="Y1" s="176"/>
      <c r="Z1" s="176"/>
      <c r="AA1" s="176"/>
    </row>
    <row r="2" spans="2:27" x14ac:dyDescent="0.25">
      <c r="B2" s="180" t="s">
        <v>93</v>
      </c>
      <c r="C2" s="182" t="s">
        <v>90</v>
      </c>
      <c r="D2" s="183"/>
      <c r="E2" s="184"/>
      <c r="F2" s="185" t="s">
        <v>94</v>
      </c>
      <c r="G2" s="187" t="s">
        <v>95</v>
      </c>
      <c r="H2" s="25"/>
      <c r="I2" s="21" t="s">
        <v>93</v>
      </c>
      <c r="J2" s="72" t="s">
        <v>110</v>
      </c>
      <c r="K2" s="21" t="s">
        <v>111</v>
      </c>
      <c r="L2" s="21" t="s">
        <v>112</v>
      </c>
      <c r="M2" s="21" t="s">
        <v>94</v>
      </c>
      <c r="N2" s="21" t="s">
        <v>95</v>
      </c>
      <c r="O2" s="30"/>
      <c r="P2" s="15"/>
      <c r="Q2" s="15"/>
      <c r="R2" s="15"/>
    </row>
    <row r="3" spans="2:27" ht="15.75" x14ac:dyDescent="0.25">
      <c r="B3" s="181"/>
      <c r="C3" s="13" t="s">
        <v>91</v>
      </c>
      <c r="D3" s="13" t="s">
        <v>92</v>
      </c>
      <c r="E3" s="13" t="s">
        <v>198</v>
      </c>
      <c r="F3" s="186"/>
      <c r="G3" s="187"/>
      <c r="H3" s="25"/>
      <c r="I3" s="22" t="s">
        <v>107</v>
      </c>
      <c r="J3" s="73">
        <f>F4</f>
        <v>172</v>
      </c>
      <c r="K3" s="18">
        <f>F5</f>
        <v>174</v>
      </c>
      <c r="L3" s="18">
        <f>F6</f>
        <v>177</v>
      </c>
      <c r="M3" s="18">
        <f>SUM(J3:L3)</f>
        <v>523</v>
      </c>
      <c r="N3" s="14">
        <f>SUM(J3:L3)/9</f>
        <v>58.111111111111114</v>
      </c>
      <c r="O3" s="28"/>
      <c r="P3" s="15"/>
      <c r="Q3" s="15"/>
      <c r="R3" s="15"/>
      <c r="X3" s="68" t="s">
        <v>164</v>
      </c>
      <c r="Y3" s="68" t="s">
        <v>166</v>
      </c>
      <c r="Z3" s="68" t="s">
        <v>90</v>
      </c>
      <c r="AA3" s="68" t="s">
        <v>165</v>
      </c>
    </row>
    <row r="4" spans="2:27" ht="15.75" x14ac:dyDescent="0.25">
      <c r="B4" s="9" t="s">
        <v>96</v>
      </c>
      <c r="C4" s="9">
        <v>60</v>
      </c>
      <c r="D4" s="9">
        <v>56</v>
      </c>
      <c r="E4" s="9">
        <v>56</v>
      </c>
      <c r="F4" s="56">
        <f>SUM(C4:E4)</f>
        <v>172</v>
      </c>
      <c r="G4" s="126">
        <f>AVERAGE(C4:E4)</f>
        <v>57.333333333333336</v>
      </c>
      <c r="H4" s="28"/>
      <c r="I4" s="22" t="s">
        <v>108</v>
      </c>
      <c r="J4" s="73">
        <f>F7</f>
        <v>164</v>
      </c>
      <c r="K4" s="18">
        <f>F8</f>
        <v>169</v>
      </c>
      <c r="L4" s="18">
        <f>F9</f>
        <v>183</v>
      </c>
      <c r="M4" s="18">
        <f>SUM(J4:L4)</f>
        <v>516</v>
      </c>
      <c r="N4" s="14">
        <f>SUM(J4:L4)/9</f>
        <v>57.333333333333336</v>
      </c>
      <c r="O4" s="28"/>
      <c r="P4" s="15"/>
      <c r="Q4" s="15"/>
      <c r="R4" s="15"/>
      <c r="X4" s="68" t="s">
        <v>107</v>
      </c>
      <c r="Y4" s="68" t="s">
        <v>110</v>
      </c>
      <c r="Z4" s="68">
        <v>1</v>
      </c>
      <c r="AA4" s="69">
        <v>60</v>
      </c>
    </row>
    <row r="5" spans="2:27" ht="15.75" x14ac:dyDescent="0.25">
      <c r="B5" s="9" t="s">
        <v>97</v>
      </c>
      <c r="C5" s="9">
        <v>59</v>
      </c>
      <c r="D5" s="9">
        <v>58</v>
      </c>
      <c r="E5" s="9">
        <v>57</v>
      </c>
      <c r="F5" s="56">
        <f t="shared" ref="F5:F12" si="0">SUM(C5:E5)</f>
        <v>174</v>
      </c>
      <c r="G5" s="127">
        <f t="shared" ref="G5:G12" si="1">AVERAGE(C5:E5)</f>
        <v>58</v>
      </c>
      <c r="H5" s="28"/>
      <c r="I5" s="22" t="s">
        <v>109</v>
      </c>
      <c r="J5" s="73">
        <f>F10</f>
        <v>152</v>
      </c>
      <c r="K5" s="18">
        <f>F11</f>
        <v>162</v>
      </c>
      <c r="L5" s="18">
        <f>F12</f>
        <v>179</v>
      </c>
      <c r="M5" s="18">
        <f>SUM(J5:L5)</f>
        <v>493</v>
      </c>
      <c r="N5" s="14">
        <f>SUM(J5:L5)/9</f>
        <v>54.777777777777779</v>
      </c>
      <c r="O5" s="28"/>
      <c r="P5" s="15"/>
      <c r="Q5" s="15"/>
      <c r="R5" s="15"/>
      <c r="X5" s="68" t="s">
        <v>107</v>
      </c>
      <c r="Y5" s="68" t="s">
        <v>110</v>
      </c>
      <c r="Z5" s="68">
        <v>2</v>
      </c>
      <c r="AA5" s="69">
        <v>56</v>
      </c>
    </row>
    <row r="6" spans="2:27" ht="15.75" x14ac:dyDescent="0.25">
      <c r="B6" s="9" t="s">
        <v>98</v>
      </c>
      <c r="C6" s="9">
        <v>58</v>
      </c>
      <c r="D6" s="9">
        <v>61</v>
      </c>
      <c r="E6" s="9">
        <v>58</v>
      </c>
      <c r="F6" s="56">
        <f t="shared" si="0"/>
        <v>177</v>
      </c>
      <c r="G6" s="14">
        <f t="shared" si="1"/>
        <v>59</v>
      </c>
      <c r="H6" s="28"/>
      <c r="I6" s="23" t="s">
        <v>113</v>
      </c>
      <c r="J6" s="73">
        <f>SUM(J3:J5)</f>
        <v>488</v>
      </c>
      <c r="K6" s="18">
        <f>SUM(K3:K5)</f>
        <v>505</v>
      </c>
      <c r="L6" s="18">
        <f>SUM(L3:L5)</f>
        <v>539</v>
      </c>
      <c r="M6" s="19">
        <f>SUM(M3:M5)</f>
        <v>1532</v>
      </c>
      <c r="N6" s="18"/>
      <c r="O6" s="31"/>
      <c r="P6" s="15"/>
      <c r="Q6" s="15"/>
      <c r="R6" s="15"/>
      <c r="X6" s="68" t="s">
        <v>107</v>
      </c>
      <c r="Y6" s="68" t="s">
        <v>110</v>
      </c>
      <c r="Z6" s="68">
        <v>3</v>
      </c>
      <c r="AA6" s="69">
        <v>56</v>
      </c>
    </row>
    <row r="7" spans="2:27" ht="15.75" x14ac:dyDescent="0.25">
      <c r="B7" s="9" t="s">
        <v>99</v>
      </c>
      <c r="C7" s="9">
        <v>57</v>
      </c>
      <c r="D7" s="9">
        <v>55</v>
      </c>
      <c r="E7" s="9">
        <v>52</v>
      </c>
      <c r="F7" s="56">
        <f t="shared" si="0"/>
        <v>164</v>
      </c>
      <c r="G7" s="126">
        <f t="shared" si="1"/>
        <v>54.666666666666664</v>
      </c>
      <c r="H7" s="28"/>
      <c r="I7" s="23" t="s">
        <v>95</v>
      </c>
      <c r="J7" s="123">
        <f>SUM(J3:J5)/9</f>
        <v>54.222222222222221</v>
      </c>
      <c r="K7" s="123">
        <f>SUM(K3:K5)/9</f>
        <v>56.111111111111114</v>
      </c>
      <c r="L7" s="123">
        <f>SUM(L3:L5)/9</f>
        <v>59.888888888888886</v>
      </c>
      <c r="M7" s="18"/>
      <c r="N7" s="18"/>
      <c r="O7" s="26"/>
      <c r="P7" s="15"/>
      <c r="Q7" s="15"/>
      <c r="R7" s="15"/>
      <c r="X7" s="68" t="s">
        <v>107</v>
      </c>
      <c r="Y7" s="68" t="s">
        <v>111</v>
      </c>
      <c r="Z7" s="68">
        <v>1</v>
      </c>
      <c r="AA7" s="69">
        <v>59</v>
      </c>
    </row>
    <row r="8" spans="2:27" ht="15.75" x14ac:dyDescent="0.25">
      <c r="B8" s="9" t="s">
        <v>100</v>
      </c>
      <c r="C8" s="9">
        <v>56</v>
      </c>
      <c r="D8" s="9">
        <v>59</v>
      </c>
      <c r="E8" s="9">
        <v>54</v>
      </c>
      <c r="F8" s="56">
        <f t="shared" si="0"/>
        <v>169</v>
      </c>
      <c r="G8" s="127">
        <f>AVERAGE(C8:E8)</f>
        <v>56.333333333333336</v>
      </c>
      <c r="H8" s="28"/>
      <c r="I8" s="15"/>
      <c r="J8" s="39"/>
      <c r="K8" s="15"/>
      <c r="L8" s="15"/>
      <c r="M8" s="15"/>
      <c r="N8" s="15"/>
      <c r="O8" s="15"/>
      <c r="P8" s="15"/>
      <c r="Q8" s="15"/>
      <c r="R8" s="15"/>
      <c r="X8" s="68" t="s">
        <v>107</v>
      </c>
      <c r="Y8" s="68" t="s">
        <v>111</v>
      </c>
      <c r="Z8" s="68">
        <v>2</v>
      </c>
      <c r="AA8" s="69">
        <v>58</v>
      </c>
    </row>
    <row r="9" spans="2:27" ht="15.75" x14ac:dyDescent="0.25">
      <c r="B9" s="9" t="s">
        <v>101</v>
      </c>
      <c r="C9" s="9">
        <v>60</v>
      </c>
      <c r="D9" s="9">
        <v>64</v>
      </c>
      <c r="E9" s="9">
        <v>59</v>
      </c>
      <c r="F9" s="56">
        <f t="shared" si="0"/>
        <v>183</v>
      </c>
      <c r="G9" s="14">
        <f>AVERAGE(C9:E9)</f>
        <v>61</v>
      </c>
      <c r="H9" s="28" t="s">
        <v>197</v>
      </c>
      <c r="I9" s="15" t="s">
        <v>119</v>
      </c>
      <c r="J9" s="42">
        <f>(SUMSQ(M3:M5)/(C16*C18))-C20</f>
        <v>54.740740740744513</v>
      </c>
      <c r="K9" s="15"/>
      <c r="L9" s="15"/>
      <c r="M9" s="15"/>
      <c r="N9" s="15"/>
      <c r="O9" s="15"/>
      <c r="P9" s="15"/>
      <c r="Q9" s="15"/>
      <c r="R9" s="15"/>
      <c r="X9" s="68" t="s">
        <v>107</v>
      </c>
      <c r="Y9" s="68" t="s">
        <v>111</v>
      </c>
      <c r="Z9" s="68">
        <v>3</v>
      </c>
      <c r="AA9" s="69">
        <v>57</v>
      </c>
    </row>
    <row r="10" spans="2:27" ht="15.75" x14ac:dyDescent="0.25">
      <c r="B10" s="9" t="s">
        <v>102</v>
      </c>
      <c r="C10" s="9">
        <v>51</v>
      </c>
      <c r="D10" s="9">
        <v>53</v>
      </c>
      <c r="E10" s="9">
        <v>48</v>
      </c>
      <c r="F10" s="56">
        <f t="shared" si="0"/>
        <v>152</v>
      </c>
      <c r="G10" s="126">
        <f t="shared" si="1"/>
        <v>50.666666666666664</v>
      </c>
      <c r="H10" s="28"/>
      <c r="I10" s="15" t="s">
        <v>120</v>
      </c>
      <c r="J10" s="42">
        <f>(SUMSQ(J6:L6)/(C17*C18))-C20</f>
        <v>149.85185185185401</v>
      </c>
      <c r="K10" s="15"/>
      <c r="L10" s="15"/>
      <c r="M10" s="15"/>
      <c r="N10" s="15"/>
      <c r="O10" s="15"/>
      <c r="P10" s="15"/>
      <c r="Q10" s="15"/>
      <c r="R10" s="15"/>
      <c r="X10" s="68" t="s">
        <v>107</v>
      </c>
      <c r="Y10" s="68" t="s">
        <v>112</v>
      </c>
      <c r="Z10" s="68">
        <v>1</v>
      </c>
      <c r="AA10" s="69">
        <v>58</v>
      </c>
    </row>
    <row r="11" spans="2:27" ht="15.75" x14ac:dyDescent="0.25">
      <c r="B11" s="9" t="s">
        <v>103</v>
      </c>
      <c r="C11" s="9">
        <v>55</v>
      </c>
      <c r="D11" s="9">
        <v>53</v>
      </c>
      <c r="E11" s="9">
        <v>54</v>
      </c>
      <c r="F11" s="56">
        <f t="shared" si="0"/>
        <v>162</v>
      </c>
      <c r="G11" s="127">
        <f t="shared" si="1"/>
        <v>54</v>
      </c>
      <c r="H11" s="28"/>
      <c r="I11" s="41" t="s">
        <v>134</v>
      </c>
      <c r="J11" s="42">
        <f>C23-J9-J10</f>
        <v>43.259259259255487</v>
      </c>
      <c r="K11" s="15"/>
      <c r="L11" s="15"/>
      <c r="M11" s="15"/>
      <c r="N11" s="15"/>
      <c r="O11" s="15"/>
      <c r="P11" s="15"/>
      <c r="Q11" s="15"/>
      <c r="R11" s="15"/>
      <c r="X11" s="68" t="s">
        <v>107</v>
      </c>
      <c r="Y11" s="68" t="s">
        <v>112</v>
      </c>
      <c r="Z11" s="68">
        <v>2</v>
      </c>
      <c r="AA11" s="69">
        <v>61</v>
      </c>
    </row>
    <row r="12" spans="2:27" ht="15.75" x14ac:dyDescent="0.25">
      <c r="B12" s="9" t="s">
        <v>104</v>
      </c>
      <c r="C12" s="9">
        <v>60</v>
      </c>
      <c r="D12" s="9">
        <v>59</v>
      </c>
      <c r="E12" s="9">
        <v>60</v>
      </c>
      <c r="F12" s="56">
        <f t="shared" si="0"/>
        <v>179</v>
      </c>
      <c r="G12" s="14">
        <f t="shared" si="1"/>
        <v>59.666666666666664</v>
      </c>
      <c r="H12" s="28"/>
      <c r="I12" s="15"/>
      <c r="J12" s="15"/>
      <c r="K12" s="15"/>
      <c r="L12" s="15"/>
      <c r="M12" s="15"/>
      <c r="N12" s="15"/>
      <c r="O12" s="15"/>
      <c r="P12" s="15"/>
      <c r="Q12" s="15"/>
      <c r="R12" s="15"/>
      <c r="X12" s="68" t="s">
        <v>107</v>
      </c>
      <c r="Y12" s="68" t="s">
        <v>112</v>
      </c>
      <c r="Z12" s="68">
        <v>3</v>
      </c>
      <c r="AA12" s="69">
        <v>58</v>
      </c>
    </row>
    <row r="13" spans="2:27" ht="15.75" x14ac:dyDescent="0.25">
      <c r="B13" s="23" t="s">
        <v>94</v>
      </c>
      <c r="C13" s="9">
        <f>SUM(C4:C12)</f>
        <v>516</v>
      </c>
      <c r="D13" s="9">
        <f>SUM(D4:D12)</f>
        <v>518</v>
      </c>
      <c r="E13" s="9">
        <f>SUM(E4:E12)</f>
        <v>498</v>
      </c>
      <c r="F13" s="71">
        <f>SUM(F4:F12)</f>
        <v>1532</v>
      </c>
      <c r="G13" s="9"/>
      <c r="H13" s="29"/>
      <c r="I13" s="38" t="s">
        <v>121</v>
      </c>
      <c r="J13" s="15"/>
      <c r="K13" s="15"/>
      <c r="L13" s="15"/>
      <c r="M13" s="15"/>
      <c r="N13" s="15"/>
      <c r="O13" s="15"/>
      <c r="P13" s="15"/>
      <c r="Q13" s="15"/>
      <c r="R13" s="15"/>
      <c r="X13" s="68" t="s">
        <v>108</v>
      </c>
      <c r="Y13" s="68" t="s">
        <v>110</v>
      </c>
      <c r="Z13" s="68">
        <v>1</v>
      </c>
      <c r="AA13" s="69">
        <v>57</v>
      </c>
    </row>
    <row r="14" spans="2:27" ht="15.75" x14ac:dyDescent="0.25">
      <c r="B14" s="23" t="s">
        <v>95</v>
      </c>
      <c r="C14" s="11">
        <f>AVERAGE(C4:C12)</f>
        <v>57.333333333333336</v>
      </c>
      <c r="D14" s="11">
        <f>AVERAGE(D4:D12)</f>
        <v>57.555555555555557</v>
      </c>
      <c r="E14" s="11">
        <f>AVERAGE(E4:E12)</f>
        <v>55.333333333333336</v>
      </c>
      <c r="F14" s="56"/>
      <c r="G14" s="9"/>
      <c r="H14" s="29"/>
      <c r="I14" s="20" t="s">
        <v>122</v>
      </c>
      <c r="J14" s="49" t="s">
        <v>123</v>
      </c>
      <c r="K14" s="51" t="s">
        <v>124</v>
      </c>
      <c r="L14" s="51" t="s">
        <v>125</v>
      </c>
      <c r="M14" s="51" t="s">
        <v>126</v>
      </c>
      <c r="N14" s="51" t="s">
        <v>127</v>
      </c>
      <c r="O14" s="50" t="s">
        <v>135</v>
      </c>
      <c r="P14" s="51" t="s">
        <v>128</v>
      </c>
      <c r="Q14" s="15"/>
      <c r="R14" s="15"/>
      <c r="X14" s="68" t="s">
        <v>108</v>
      </c>
      <c r="Y14" s="68" t="s">
        <v>110</v>
      </c>
      <c r="Z14" s="68">
        <v>2</v>
      </c>
      <c r="AA14" s="69">
        <v>55</v>
      </c>
    </row>
    <row r="15" spans="2:27" ht="15.75" x14ac:dyDescent="0.25">
      <c r="B15" s="15"/>
      <c r="C15" s="15"/>
      <c r="D15" s="15"/>
      <c r="E15" s="15"/>
      <c r="F15" s="15"/>
      <c r="G15" s="15"/>
      <c r="H15" s="29"/>
      <c r="I15" s="9" t="s">
        <v>129</v>
      </c>
      <c r="J15" s="70">
        <f>C18-1</f>
        <v>2</v>
      </c>
      <c r="K15" s="11">
        <f>C22</f>
        <v>26.962962962963502</v>
      </c>
      <c r="L15" s="11">
        <f t="shared" ref="L15:L20" si="2">K15/J15</f>
        <v>13.481481481481751</v>
      </c>
      <c r="M15" s="10">
        <f>L15/L$20</f>
        <v>4.6517571884990359</v>
      </c>
      <c r="N15" s="10">
        <f>FINV(0.05,J15,J$20)</f>
        <v>3.6337234675916301</v>
      </c>
      <c r="O15" s="10">
        <f>FINV(0.01,J15,J$20)</f>
        <v>6.2262352803113821</v>
      </c>
      <c r="P15" s="9" t="s">
        <v>136</v>
      </c>
      <c r="Q15" s="15"/>
      <c r="R15" s="67"/>
      <c r="X15" s="68" t="s">
        <v>108</v>
      </c>
      <c r="Y15" s="68" t="s">
        <v>110</v>
      </c>
      <c r="Z15" s="68">
        <v>3</v>
      </c>
      <c r="AA15" s="69">
        <v>52</v>
      </c>
    </row>
    <row r="16" spans="2:27" ht="15" customHeight="1" x14ac:dyDescent="0.25">
      <c r="B16" s="29" t="s">
        <v>153</v>
      </c>
      <c r="C16">
        <v>3</v>
      </c>
      <c r="D16" s="15"/>
      <c r="E16" s="15"/>
      <c r="F16" s="15"/>
      <c r="G16" s="15"/>
      <c r="H16" s="29"/>
      <c r="I16" s="9" t="s">
        <v>93</v>
      </c>
      <c r="J16" s="70">
        <f>(C16*C17)-1</f>
        <v>8</v>
      </c>
      <c r="K16" s="11">
        <f>C23</f>
        <v>247.85185185185401</v>
      </c>
      <c r="L16" s="11">
        <f t="shared" si="2"/>
        <v>30.981481481481751</v>
      </c>
      <c r="M16" s="10">
        <f>L16/L$20</f>
        <v>10.690095846646702</v>
      </c>
      <c r="N16" s="10">
        <f>FINV(0.05,J16,J$20)</f>
        <v>2.5910961798744014</v>
      </c>
      <c r="O16" s="10">
        <f>FINV(0.01,J16,J$20)</f>
        <v>3.8895721399261927</v>
      </c>
      <c r="P16" s="9" t="s">
        <v>137</v>
      </c>
      <c r="Q16" s="15"/>
      <c r="R16" s="67"/>
      <c r="X16" s="68" t="s">
        <v>108</v>
      </c>
      <c r="Y16" s="68" t="s">
        <v>111</v>
      </c>
      <c r="Z16" s="68">
        <v>1</v>
      </c>
      <c r="AA16" s="69">
        <v>56</v>
      </c>
    </row>
    <row r="17" spans="2:27" ht="15.75" x14ac:dyDescent="0.25">
      <c r="B17" t="s">
        <v>131</v>
      </c>
      <c r="C17">
        <v>3</v>
      </c>
      <c r="D17" s="15"/>
      <c r="E17" s="15"/>
      <c r="F17" s="15"/>
      <c r="G17" s="15"/>
      <c r="H17" s="29"/>
      <c r="I17" s="9" t="s">
        <v>130</v>
      </c>
      <c r="J17" s="70">
        <f>C16-1</f>
        <v>2</v>
      </c>
      <c r="K17" s="11">
        <f>J9</f>
        <v>54.740740740744513</v>
      </c>
      <c r="L17" s="11">
        <f t="shared" si="2"/>
        <v>27.370370370372257</v>
      </c>
      <c r="M17" s="10">
        <f>L17/L$20</f>
        <v>9.4440894568707581</v>
      </c>
      <c r="N17" s="10">
        <f>FINV(0.05,J17,J$20)</f>
        <v>3.6337234675916301</v>
      </c>
      <c r="O17" s="10">
        <f>FINV(0.01,J17,J$20)</f>
        <v>6.2262352803113821</v>
      </c>
      <c r="P17" s="9" t="s">
        <v>137</v>
      </c>
      <c r="Q17" s="15"/>
      <c r="R17" s="67"/>
      <c r="X17" s="68" t="s">
        <v>108</v>
      </c>
      <c r="Y17" s="68" t="s">
        <v>111</v>
      </c>
      <c r="Z17" s="68">
        <v>2</v>
      </c>
      <c r="AA17" s="69">
        <v>59</v>
      </c>
    </row>
    <row r="18" spans="2:27" ht="15.75" x14ac:dyDescent="0.25">
      <c r="B18" t="s">
        <v>105</v>
      </c>
      <c r="C18">
        <v>3</v>
      </c>
      <c r="D18" s="15"/>
      <c r="E18" s="15"/>
      <c r="F18" s="15"/>
      <c r="G18" s="15"/>
      <c r="H18" s="29"/>
      <c r="I18" s="9" t="s">
        <v>131</v>
      </c>
      <c r="J18" s="70">
        <f>C17-1</f>
        <v>2</v>
      </c>
      <c r="K18" s="11">
        <f>J10</f>
        <v>149.85185185185401</v>
      </c>
      <c r="L18" s="11">
        <f t="shared" si="2"/>
        <v>74.925925925927004</v>
      </c>
      <c r="M18" s="10">
        <f>L18/L$20</f>
        <v>25.853035143773344</v>
      </c>
      <c r="N18" s="10">
        <f>FINV(0.05,J18,J$20)</f>
        <v>3.6337234675916301</v>
      </c>
      <c r="O18" s="10">
        <f>FINV(0.01,J18,J$20)</f>
        <v>6.2262352803113821</v>
      </c>
      <c r="P18" s="9" t="s">
        <v>137</v>
      </c>
      <c r="Q18" s="15"/>
      <c r="R18" s="67"/>
      <c r="X18" s="68" t="s">
        <v>108</v>
      </c>
      <c r="Y18" s="68" t="s">
        <v>111</v>
      </c>
      <c r="Z18" s="68">
        <v>3</v>
      </c>
      <c r="AA18" s="69">
        <v>54</v>
      </c>
    </row>
    <row r="19" spans="2:27" ht="15.75" x14ac:dyDescent="0.25">
      <c r="D19" s="15"/>
      <c r="E19" s="15"/>
      <c r="F19" s="15"/>
      <c r="G19" s="15"/>
      <c r="H19" s="29"/>
      <c r="I19" s="9" t="s">
        <v>132</v>
      </c>
      <c r="J19" s="70">
        <f>J17*J18</f>
        <v>4</v>
      </c>
      <c r="K19" s="11">
        <f>J11</f>
        <v>43.259259259255487</v>
      </c>
      <c r="L19" s="11">
        <f t="shared" si="2"/>
        <v>10.814814814813872</v>
      </c>
      <c r="M19" s="10">
        <f>L19/L$20</f>
        <v>3.7316293929713544</v>
      </c>
      <c r="N19" s="10">
        <f>FINV(0.05,J19,J$20)</f>
        <v>3.0069172799243447</v>
      </c>
      <c r="O19" s="10">
        <f>FINV(0.01,J19,J$20)</f>
        <v>4.772577999723211</v>
      </c>
      <c r="P19" s="9" t="s">
        <v>136</v>
      </c>
      <c r="Q19" s="15"/>
      <c r="R19" s="15"/>
      <c r="X19" s="68" t="s">
        <v>108</v>
      </c>
      <c r="Y19" s="68" t="s">
        <v>112</v>
      </c>
      <c r="Z19" s="68">
        <v>1</v>
      </c>
      <c r="AA19" s="69">
        <v>60</v>
      </c>
    </row>
    <row r="20" spans="2:27" ht="15.75" x14ac:dyDescent="0.25">
      <c r="B20" t="s">
        <v>114</v>
      </c>
      <c r="C20" s="8">
        <f>(F13^2)/(C16*C17*C18)</f>
        <v>86926.814814814818</v>
      </c>
      <c r="D20" s="15"/>
      <c r="E20" s="15"/>
      <c r="F20" s="15"/>
      <c r="G20" s="15"/>
      <c r="H20" s="29"/>
      <c r="I20" s="9" t="s">
        <v>133</v>
      </c>
      <c r="J20" s="70">
        <f>(C18-1)*((C16*C17)-1)</f>
        <v>16</v>
      </c>
      <c r="K20" s="11">
        <f>C24</f>
        <v>46.370370370364981</v>
      </c>
      <c r="L20" s="14">
        <f t="shared" si="2"/>
        <v>2.8981481481478113</v>
      </c>
      <c r="M20" s="24"/>
      <c r="N20" s="24"/>
      <c r="O20" s="24"/>
      <c r="P20" s="24"/>
      <c r="Q20" s="15"/>
      <c r="R20" s="15"/>
      <c r="X20" s="68" t="s">
        <v>108</v>
      </c>
      <c r="Y20" s="68" t="s">
        <v>112</v>
      </c>
      <c r="Z20" s="68">
        <v>2</v>
      </c>
      <c r="AA20" s="69">
        <v>64</v>
      </c>
    </row>
    <row r="21" spans="2:27" ht="15.75" x14ac:dyDescent="0.25">
      <c r="B21" t="s">
        <v>115</v>
      </c>
      <c r="C21" s="8">
        <f>(SUMSQ(C4:E12))-C20</f>
        <v>321.18518518518249</v>
      </c>
      <c r="D21" s="15"/>
      <c r="E21" s="15"/>
      <c r="F21" s="15"/>
      <c r="G21" s="15"/>
      <c r="H21" s="29"/>
      <c r="I21" s="9" t="s">
        <v>94</v>
      </c>
      <c r="J21" s="70">
        <f>J15+J16+J20</f>
        <v>26</v>
      </c>
      <c r="K21" s="11">
        <f>C21</f>
        <v>321.18518518518249</v>
      </c>
      <c r="L21" s="62"/>
      <c r="M21" s="24"/>
      <c r="N21" s="24"/>
      <c r="O21" s="24"/>
      <c r="P21" s="24"/>
      <c r="Q21" s="15"/>
      <c r="R21" s="15"/>
      <c r="X21" s="68" t="s">
        <v>108</v>
      </c>
      <c r="Y21" s="68" t="s">
        <v>112</v>
      </c>
      <c r="Z21" s="68">
        <v>3</v>
      </c>
      <c r="AA21" s="69">
        <v>59</v>
      </c>
    </row>
    <row r="22" spans="2:27" ht="15.75" x14ac:dyDescent="0.25">
      <c r="B22" t="s">
        <v>116</v>
      </c>
      <c r="C22" s="8">
        <f>(SUMSQ(C13:E13)/(C16*C17))-C20</f>
        <v>26.962962962963502</v>
      </c>
      <c r="D22" s="15"/>
      <c r="E22" s="15"/>
      <c r="F22" s="15"/>
      <c r="G22" s="15"/>
      <c r="H22" s="29"/>
      <c r="I22" s="15"/>
      <c r="J22" s="15"/>
      <c r="K22" s="15"/>
      <c r="L22" s="15"/>
      <c r="M22" s="15"/>
      <c r="N22" s="15"/>
      <c r="O22" s="15"/>
      <c r="P22" s="15"/>
      <c r="Q22" s="15"/>
      <c r="R22" s="15"/>
      <c r="X22" s="68" t="s">
        <v>109</v>
      </c>
      <c r="Y22" s="68" t="s">
        <v>110</v>
      </c>
      <c r="Z22" s="68">
        <v>1</v>
      </c>
      <c r="AA22" s="69">
        <v>51</v>
      </c>
    </row>
    <row r="23" spans="2:27" ht="15.75" x14ac:dyDescent="0.25">
      <c r="B23" t="s">
        <v>117</v>
      </c>
      <c r="C23" s="8">
        <f>(SUMSQ(F4:F12)/C18)-C20</f>
        <v>247.85185185185401</v>
      </c>
      <c r="D23" s="15"/>
      <c r="E23" s="15"/>
      <c r="F23" s="15"/>
      <c r="G23" s="15"/>
      <c r="H23" s="29"/>
      <c r="I23" s="60" t="s">
        <v>151</v>
      </c>
      <c r="J23" s="61"/>
      <c r="K23" s="61"/>
      <c r="L23" s="61"/>
      <c r="M23" s="61"/>
      <c r="N23" s="15"/>
      <c r="O23" s="15"/>
      <c r="P23" s="15"/>
      <c r="Q23" s="15"/>
      <c r="R23" s="15"/>
      <c r="X23" s="68" t="s">
        <v>109</v>
      </c>
      <c r="Y23" s="68" t="s">
        <v>110</v>
      </c>
      <c r="Z23" s="68">
        <v>2</v>
      </c>
      <c r="AA23" s="69">
        <v>53</v>
      </c>
    </row>
    <row r="24" spans="2:27" ht="15.75" x14ac:dyDescent="0.25">
      <c r="B24" t="s">
        <v>118</v>
      </c>
      <c r="C24" s="8">
        <f>C21-C22-C23</f>
        <v>46.370370370364981</v>
      </c>
      <c r="D24" s="15"/>
      <c r="E24" s="15"/>
      <c r="F24" s="15"/>
      <c r="G24" s="15"/>
      <c r="H24" s="29"/>
      <c r="I24" s="64" t="s">
        <v>159</v>
      </c>
      <c r="J24" s="192" t="s">
        <v>160</v>
      </c>
      <c r="K24" s="192"/>
      <c r="L24" s="192"/>
      <c r="M24" s="192"/>
      <c r="N24" s="15"/>
      <c r="O24" s="15"/>
      <c r="P24" s="15"/>
      <c r="Q24" s="15"/>
      <c r="R24" s="15"/>
      <c r="X24" s="68" t="s">
        <v>109</v>
      </c>
      <c r="Y24" s="68" t="s">
        <v>110</v>
      </c>
      <c r="Z24" s="68">
        <v>3</v>
      </c>
      <c r="AA24" s="69">
        <v>48</v>
      </c>
    </row>
    <row r="25" spans="2:27" ht="14.25" customHeight="1" x14ac:dyDescent="0.25">
      <c r="C25" s="4"/>
      <c r="H25" s="29"/>
      <c r="I25" s="61"/>
      <c r="J25" s="192" t="s">
        <v>203</v>
      </c>
      <c r="K25" s="192"/>
      <c r="L25" s="192"/>
      <c r="M25" s="192"/>
      <c r="N25" s="15"/>
      <c r="O25" s="15"/>
      <c r="P25" s="15"/>
      <c r="Q25" s="15"/>
      <c r="R25" s="15"/>
      <c r="X25" s="68" t="s">
        <v>109</v>
      </c>
      <c r="Y25" s="68" t="s">
        <v>111</v>
      </c>
      <c r="Z25" s="68">
        <v>1</v>
      </c>
      <c r="AA25" s="69">
        <v>55</v>
      </c>
    </row>
    <row r="26" spans="2:27" ht="15.75" x14ac:dyDescent="0.25">
      <c r="H26" s="15"/>
      <c r="I26" s="61"/>
      <c r="J26" s="64">
        <v>5.03</v>
      </c>
      <c r="K26" s="64" t="s">
        <v>152</v>
      </c>
      <c r="L26" s="64">
        <f>SQRT(L20/3)</f>
        <v>0.98287811183072804</v>
      </c>
      <c r="M26" s="61"/>
      <c r="N26" s="15"/>
      <c r="O26" s="15"/>
      <c r="P26" s="15"/>
      <c r="Q26" s="15"/>
      <c r="R26" s="15"/>
      <c r="X26" s="68" t="s">
        <v>109</v>
      </c>
      <c r="Y26" s="68" t="s">
        <v>111</v>
      </c>
      <c r="Z26" s="68">
        <v>2</v>
      </c>
      <c r="AA26" s="69">
        <v>53</v>
      </c>
    </row>
    <row r="27" spans="2:27" ht="15.75" x14ac:dyDescent="0.25">
      <c r="H27" s="15"/>
      <c r="I27" s="61"/>
      <c r="J27" s="65">
        <f>J26*L26</f>
        <v>4.9438769025085625</v>
      </c>
      <c r="L27" s="61"/>
      <c r="M27" s="61"/>
      <c r="N27" s="15"/>
      <c r="O27" s="15"/>
      <c r="P27" s="15"/>
      <c r="Q27" s="15"/>
      <c r="R27" s="15"/>
      <c r="X27" s="68" t="s">
        <v>109</v>
      </c>
      <c r="Y27" s="68" t="s">
        <v>111</v>
      </c>
      <c r="Z27" s="68">
        <v>3</v>
      </c>
      <c r="AA27" s="69">
        <v>54</v>
      </c>
    </row>
    <row r="28" spans="2:27" ht="15.75" x14ac:dyDescent="0.25">
      <c r="H28" s="15"/>
      <c r="N28" s="15"/>
      <c r="O28" s="15"/>
      <c r="P28" s="15"/>
      <c r="Q28" s="15"/>
      <c r="R28" s="15"/>
      <c r="X28" s="68" t="s">
        <v>109</v>
      </c>
      <c r="Y28" s="68" t="s">
        <v>112</v>
      </c>
      <c r="Z28" s="68">
        <v>1</v>
      </c>
      <c r="AA28" s="69">
        <v>60</v>
      </c>
    </row>
    <row r="29" spans="2:27" ht="15.75" x14ac:dyDescent="0.25">
      <c r="H29" s="15"/>
      <c r="I29" s="64" t="s">
        <v>154</v>
      </c>
      <c r="J29" s="61"/>
      <c r="K29" s="61"/>
      <c r="L29" s="61"/>
      <c r="M29" s="61"/>
      <c r="N29" s="15"/>
      <c r="O29" s="15"/>
      <c r="P29" s="15"/>
      <c r="Q29" s="15"/>
      <c r="R29" s="15"/>
      <c r="X29" s="68" t="s">
        <v>109</v>
      </c>
      <c r="Y29" s="68" t="s">
        <v>112</v>
      </c>
      <c r="Z29" s="68">
        <v>2</v>
      </c>
      <c r="AA29" s="69">
        <v>59</v>
      </c>
    </row>
    <row r="30" spans="2:27" ht="15.75" x14ac:dyDescent="0.25">
      <c r="H30" s="15"/>
      <c r="I30" s="192" t="s">
        <v>155</v>
      </c>
      <c r="J30" s="192"/>
      <c r="K30" s="192"/>
      <c r="L30" s="192"/>
      <c r="M30" s="192"/>
      <c r="N30" s="15"/>
      <c r="O30" s="15"/>
      <c r="P30" s="15"/>
      <c r="Q30" s="15"/>
      <c r="R30" s="15"/>
      <c r="X30" s="68" t="s">
        <v>109</v>
      </c>
      <c r="Y30" s="68" t="s">
        <v>112</v>
      </c>
      <c r="Z30" s="68">
        <v>3</v>
      </c>
      <c r="AA30" s="69">
        <v>60</v>
      </c>
    </row>
    <row r="31" spans="2:27" ht="15.75" x14ac:dyDescent="0.25">
      <c r="H31" s="15"/>
      <c r="I31" s="192" t="s">
        <v>156</v>
      </c>
      <c r="J31" s="192"/>
      <c r="K31" s="192"/>
      <c r="L31" s="192"/>
      <c r="M31" s="192"/>
      <c r="N31" s="15"/>
      <c r="O31" s="15"/>
      <c r="P31" s="15"/>
      <c r="Q31" s="15"/>
      <c r="R31" s="15"/>
    </row>
    <row r="32" spans="2:27" x14ac:dyDescent="0.25">
      <c r="H32" s="15"/>
      <c r="I32" s="63" t="s">
        <v>157</v>
      </c>
      <c r="N32" s="15"/>
      <c r="O32" s="15"/>
      <c r="P32" s="15"/>
      <c r="Q32" s="15"/>
      <c r="R32" s="15"/>
    </row>
    <row r="33" spans="8:25" x14ac:dyDescent="0.25">
      <c r="H33" s="15"/>
      <c r="N33" s="15"/>
      <c r="O33" s="42"/>
      <c r="P33" s="15"/>
      <c r="Q33" s="15"/>
      <c r="R33" s="15"/>
    </row>
    <row r="34" spans="8:25" ht="15.75" thickBot="1" x14ac:dyDescent="0.3">
      <c r="H34" s="15"/>
      <c r="I34" s="1" t="s">
        <v>158</v>
      </c>
      <c r="N34" s="15"/>
      <c r="O34" s="15"/>
      <c r="P34" s="15"/>
      <c r="Q34" s="15"/>
      <c r="R34" s="15"/>
    </row>
    <row r="35" spans="8:25" ht="15.75" thickBot="1" x14ac:dyDescent="0.3">
      <c r="H35" s="15"/>
      <c r="I35" s="46" t="s">
        <v>93</v>
      </c>
      <c r="J35" s="46" t="s">
        <v>141</v>
      </c>
      <c r="K35" s="81" t="s">
        <v>161</v>
      </c>
      <c r="L35" s="82" t="s">
        <v>128</v>
      </c>
      <c r="N35" s="15"/>
      <c r="O35" s="29"/>
      <c r="P35" s="83"/>
      <c r="Q35" s="83"/>
      <c r="R35" s="83"/>
      <c r="S35" s="83"/>
      <c r="T35" s="83"/>
      <c r="U35" s="83"/>
      <c r="V35" s="83"/>
      <c r="W35" s="83"/>
      <c r="X35" s="83"/>
      <c r="Y35" s="27"/>
    </row>
    <row r="36" spans="8:25" x14ac:dyDescent="0.25">
      <c r="H36" s="15"/>
      <c r="I36" s="35" t="s">
        <v>102</v>
      </c>
      <c r="J36" s="47">
        <v>50.666666666666664</v>
      </c>
      <c r="K36" s="42">
        <f>J36+J$45</f>
        <v>55.610543569175228</v>
      </c>
      <c r="L36" s="77" t="s">
        <v>144</v>
      </c>
      <c r="O36" s="83"/>
      <c r="P36" s="83"/>
      <c r="Q36" s="27"/>
      <c r="R36" s="27"/>
      <c r="S36" s="27"/>
      <c r="T36" s="27"/>
      <c r="U36" s="27"/>
      <c r="V36" s="27"/>
      <c r="W36" s="27"/>
      <c r="X36" s="27"/>
      <c r="Y36" s="27"/>
    </row>
    <row r="37" spans="8:25" x14ac:dyDescent="0.25">
      <c r="H37" s="15"/>
      <c r="I37" s="37" t="s">
        <v>103</v>
      </c>
      <c r="J37" s="47">
        <v>54</v>
      </c>
      <c r="K37" s="42">
        <f>J37+J$45</f>
        <v>58.943876902508563</v>
      </c>
      <c r="L37" s="77" t="s">
        <v>162</v>
      </c>
      <c r="N37" s="8"/>
      <c r="O37" s="83"/>
      <c r="P37" s="83"/>
      <c r="Q37" s="83"/>
      <c r="R37" s="27"/>
      <c r="S37" s="27"/>
      <c r="T37" s="27"/>
      <c r="U37" s="27"/>
      <c r="V37" s="27"/>
      <c r="W37" s="27"/>
      <c r="X37" s="27"/>
      <c r="Y37" s="27"/>
    </row>
    <row r="38" spans="8:25" x14ac:dyDescent="0.25">
      <c r="H38" s="15"/>
      <c r="I38" s="37" t="s">
        <v>99</v>
      </c>
      <c r="J38" s="47">
        <v>54.666666666666664</v>
      </c>
      <c r="K38" s="42">
        <f>J38+J$45</f>
        <v>59.610543569175228</v>
      </c>
      <c r="L38" s="77" t="s">
        <v>204</v>
      </c>
      <c r="N38" s="8"/>
      <c r="O38" s="83"/>
      <c r="P38" s="83"/>
      <c r="Q38" s="83"/>
      <c r="R38" s="83"/>
      <c r="S38" s="27"/>
      <c r="T38" s="27"/>
      <c r="U38" s="27"/>
      <c r="V38" s="27"/>
      <c r="W38" s="27"/>
      <c r="X38" s="27"/>
      <c r="Y38" s="27"/>
    </row>
    <row r="39" spans="8:25" x14ac:dyDescent="0.25">
      <c r="H39" s="15"/>
      <c r="I39" s="37" t="s">
        <v>100</v>
      </c>
      <c r="J39" s="47">
        <v>56.333333333333336</v>
      </c>
      <c r="K39" s="42">
        <f>J39+J$45</f>
        <v>61.277210235841899</v>
      </c>
      <c r="L39" s="77" t="s">
        <v>205</v>
      </c>
      <c r="N39" s="8"/>
      <c r="O39" s="83"/>
      <c r="P39" s="83"/>
      <c r="Q39" s="83"/>
      <c r="R39" s="83"/>
      <c r="S39" s="83"/>
      <c r="T39" s="27"/>
      <c r="U39" s="27"/>
      <c r="V39" s="27"/>
      <c r="W39" s="27"/>
      <c r="X39" s="27"/>
      <c r="Y39" s="27"/>
    </row>
    <row r="40" spans="8:25" x14ac:dyDescent="0.25">
      <c r="H40" s="15"/>
      <c r="I40" s="37" t="s">
        <v>96</v>
      </c>
      <c r="J40" s="47">
        <v>57.333333333333336</v>
      </c>
      <c r="K40" s="42"/>
      <c r="L40" s="40" t="s">
        <v>205</v>
      </c>
      <c r="N40" s="8"/>
      <c r="O40" s="83"/>
      <c r="P40" s="83"/>
      <c r="Q40" s="83"/>
      <c r="R40" s="83"/>
      <c r="S40" s="83"/>
      <c r="T40" s="83"/>
      <c r="U40" s="27"/>
      <c r="V40" s="27"/>
      <c r="W40" s="27"/>
      <c r="X40" s="27"/>
      <c r="Y40" s="27"/>
    </row>
    <row r="41" spans="8:25" x14ac:dyDescent="0.25">
      <c r="H41" s="15"/>
      <c r="I41" s="37" t="s">
        <v>97</v>
      </c>
      <c r="J41" s="47">
        <v>58</v>
      </c>
      <c r="K41" s="42"/>
      <c r="L41" s="40" t="s">
        <v>205</v>
      </c>
      <c r="N41" s="8"/>
      <c r="O41" s="83"/>
      <c r="P41" s="83"/>
      <c r="Q41" s="83"/>
      <c r="R41" s="83"/>
      <c r="S41" s="83"/>
      <c r="T41" s="83"/>
      <c r="U41" s="83"/>
      <c r="V41" s="27"/>
      <c r="W41" s="27"/>
      <c r="X41" s="27"/>
      <c r="Y41" s="27"/>
    </row>
    <row r="42" spans="8:25" x14ac:dyDescent="0.25">
      <c r="H42" s="15"/>
      <c r="I42" s="37" t="s">
        <v>98</v>
      </c>
      <c r="J42" s="47">
        <v>59</v>
      </c>
      <c r="K42" s="42"/>
      <c r="L42" s="77" t="s">
        <v>206</v>
      </c>
      <c r="O42" s="83"/>
      <c r="P42" s="83"/>
      <c r="Q42" s="83"/>
      <c r="R42" s="83"/>
      <c r="S42" s="83"/>
      <c r="T42" s="83"/>
      <c r="U42" s="83"/>
      <c r="V42" s="83"/>
      <c r="W42" s="27"/>
      <c r="X42" s="27"/>
      <c r="Y42" s="27"/>
    </row>
    <row r="43" spans="8:25" x14ac:dyDescent="0.25">
      <c r="I43" s="37" t="s">
        <v>104</v>
      </c>
      <c r="J43" s="47">
        <v>59.666666666666664</v>
      </c>
      <c r="K43" s="42"/>
      <c r="L43" s="77" t="s">
        <v>207</v>
      </c>
      <c r="O43" s="83"/>
      <c r="P43" s="83"/>
      <c r="Q43" s="83"/>
      <c r="R43" s="83"/>
      <c r="S43" s="83"/>
      <c r="T43" s="83"/>
      <c r="U43" s="83"/>
      <c r="V43" s="83"/>
      <c r="W43" s="83"/>
      <c r="X43" s="27"/>
      <c r="Y43" s="27"/>
    </row>
    <row r="44" spans="8:25" ht="15.75" thickBot="1" x14ac:dyDescent="0.3">
      <c r="I44" s="37" t="s">
        <v>101</v>
      </c>
      <c r="J44" s="78">
        <v>61</v>
      </c>
      <c r="K44" s="79"/>
      <c r="L44" s="80" t="s">
        <v>207</v>
      </c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27"/>
    </row>
    <row r="45" spans="8:25" ht="15.75" thickBot="1" x14ac:dyDescent="0.3">
      <c r="I45" s="48" t="s">
        <v>176</v>
      </c>
      <c r="J45" s="189">
        <f>J27</f>
        <v>4.9438769025085625</v>
      </c>
      <c r="K45" s="190"/>
      <c r="L45" s="191"/>
      <c r="M45" s="66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8:25" x14ac:dyDescent="0.25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53" spans="9:16" ht="15.75" x14ac:dyDescent="0.25">
      <c r="I53" s="188" t="s">
        <v>93</v>
      </c>
      <c r="J53" s="188"/>
      <c r="K53" s="188"/>
      <c r="L53" s="188"/>
      <c r="M53" s="188"/>
      <c r="N53" s="84" t="s">
        <v>141</v>
      </c>
      <c r="O53" s="84" t="s">
        <v>168</v>
      </c>
      <c r="P53" s="84" t="s">
        <v>128</v>
      </c>
    </row>
    <row r="54" spans="9:16" ht="15.75" x14ac:dyDescent="0.25">
      <c r="I54" s="179" t="s">
        <v>169</v>
      </c>
      <c r="J54" s="179"/>
      <c r="K54" s="179"/>
      <c r="L54" s="179"/>
      <c r="M54" s="179"/>
      <c r="N54" s="85">
        <v>57.3333333333333</v>
      </c>
      <c r="O54" s="86">
        <v>172</v>
      </c>
      <c r="P54" s="87" t="s">
        <v>205</v>
      </c>
    </row>
    <row r="55" spans="9:16" ht="15.75" x14ac:dyDescent="0.25">
      <c r="I55" s="175" t="s">
        <v>170</v>
      </c>
      <c r="J55" s="175"/>
      <c r="K55" s="175"/>
      <c r="L55" s="175"/>
      <c r="M55" s="175"/>
      <c r="N55" s="85">
        <v>58</v>
      </c>
      <c r="O55" s="86">
        <v>174</v>
      </c>
      <c r="P55" s="87" t="s">
        <v>205</v>
      </c>
    </row>
    <row r="56" spans="9:16" ht="15.75" x14ac:dyDescent="0.25">
      <c r="I56" s="175" t="s">
        <v>171</v>
      </c>
      <c r="J56" s="175"/>
      <c r="K56" s="175"/>
      <c r="L56" s="175"/>
      <c r="M56" s="175"/>
      <c r="N56" s="85">
        <v>59</v>
      </c>
      <c r="O56" s="86">
        <v>177</v>
      </c>
      <c r="P56" s="87" t="s">
        <v>206</v>
      </c>
    </row>
    <row r="57" spans="9:16" ht="15.75" x14ac:dyDescent="0.25">
      <c r="I57" s="175" t="s">
        <v>172</v>
      </c>
      <c r="J57" s="175"/>
      <c r="K57" s="175"/>
      <c r="L57" s="175"/>
      <c r="M57" s="175"/>
      <c r="N57" s="85">
        <v>54.666666666666664</v>
      </c>
      <c r="O57" s="86">
        <v>164</v>
      </c>
      <c r="P57" s="87" t="s">
        <v>204</v>
      </c>
    </row>
    <row r="58" spans="9:16" ht="15.75" x14ac:dyDescent="0.25">
      <c r="I58" s="175" t="s">
        <v>173</v>
      </c>
      <c r="J58" s="175"/>
      <c r="K58" s="175"/>
      <c r="L58" s="175"/>
      <c r="M58" s="175"/>
      <c r="N58" s="85">
        <v>56.333333333333336</v>
      </c>
      <c r="O58" s="86">
        <v>169</v>
      </c>
      <c r="P58" s="87" t="s">
        <v>205</v>
      </c>
    </row>
    <row r="59" spans="9:16" ht="15.75" x14ac:dyDescent="0.25">
      <c r="I59" s="175" t="s">
        <v>174</v>
      </c>
      <c r="J59" s="175"/>
      <c r="K59" s="175"/>
      <c r="L59" s="175"/>
      <c r="M59" s="175"/>
      <c r="N59" s="85">
        <v>61</v>
      </c>
      <c r="O59" s="86">
        <v>183</v>
      </c>
      <c r="P59" s="87" t="s">
        <v>207</v>
      </c>
    </row>
    <row r="60" spans="9:16" ht="15.75" x14ac:dyDescent="0.25">
      <c r="I60" s="175" t="s">
        <v>210</v>
      </c>
      <c r="J60" s="175"/>
      <c r="K60" s="175"/>
      <c r="L60" s="175"/>
      <c r="M60" s="175"/>
      <c r="N60" s="85">
        <v>50.666666666666664</v>
      </c>
      <c r="O60" s="86">
        <v>152</v>
      </c>
      <c r="P60" s="87" t="s">
        <v>144</v>
      </c>
    </row>
    <row r="61" spans="9:16" ht="15.75" x14ac:dyDescent="0.25">
      <c r="I61" s="175" t="s">
        <v>208</v>
      </c>
      <c r="J61" s="175"/>
      <c r="K61" s="175"/>
      <c r="L61" s="175"/>
      <c r="M61" s="175"/>
      <c r="N61" s="85">
        <v>54</v>
      </c>
      <c r="O61" s="86">
        <v>162</v>
      </c>
      <c r="P61" s="87" t="s">
        <v>162</v>
      </c>
    </row>
    <row r="62" spans="9:16" ht="15.75" x14ac:dyDescent="0.25">
      <c r="I62" s="177" t="s">
        <v>209</v>
      </c>
      <c r="J62" s="177"/>
      <c r="K62" s="177"/>
      <c r="L62" s="177"/>
      <c r="M62" s="177"/>
      <c r="N62" s="85">
        <v>59.666666666666664</v>
      </c>
      <c r="O62" s="86">
        <v>179</v>
      </c>
      <c r="P62" s="87" t="s">
        <v>207</v>
      </c>
    </row>
    <row r="63" spans="9:16" ht="15.75" x14ac:dyDescent="0.25">
      <c r="I63" s="178" t="s">
        <v>176</v>
      </c>
      <c r="J63" s="178"/>
      <c r="K63" s="178"/>
      <c r="L63" s="178"/>
      <c r="M63" s="178"/>
      <c r="N63" s="174">
        <f>J45</f>
        <v>4.9438769025085625</v>
      </c>
      <c r="O63" s="174"/>
      <c r="P63" s="174"/>
    </row>
  </sheetData>
  <sortState xmlns:xlrd2="http://schemas.microsoft.com/office/spreadsheetml/2017/richdata2" ref="I36:L44">
    <sortCondition ref="J36:J44"/>
  </sortState>
  <mergeCells count="22">
    <mergeCell ref="B2:B3"/>
    <mergeCell ref="C2:E2"/>
    <mergeCell ref="F2:F3"/>
    <mergeCell ref="G2:G3"/>
    <mergeCell ref="I53:M53"/>
    <mergeCell ref="J45:L45"/>
    <mergeCell ref="J24:M24"/>
    <mergeCell ref="J25:M25"/>
    <mergeCell ref="I30:M30"/>
    <mergeCell ref="I31:M31"/>
    <mergeCell ref="N63:P63"/>
    <mergeCell ref="I58:M58"/>
    <mergeCell ref="X1:AA1"/>
    <mergeCell ref="I59:M59"/>
    <mergeCell ref="I60:M60"/>
    <mergeCell ref="I61:M61"/>
    <mergeCell ref="I62:M62"/>
    <mergeCell ref="I63:M63"/>
    <mergeCell ref="I54:M54"/>
    <mergeCell ref="I55:M55"/>
    <mergeCell ref="I56:M56"/>
    <mergeCell ref="I57:M57"/>
  </mergeCells>
  <phoneticPr fontId="5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11899-D04C-416D-9DF7-B33FBC2297FA}">
  <dimension ref="B1:AN52"/>
  <sheetViews>
    <sheetView topLeftCell="H15" zoomScale="80" zoomScaleNormal="80" workbookViewId="0">
      <selection activeCell="J15" sqref="J15:P21"/>
    </sheetView>
  </sheetViews>
  <sheetFormatPr defaultRowHeight="15" x14ac:dyDescent="0.25"/>
  <cols>
    <col min="2" max="2" width="13.85546875" customWidth="1"/>
    <col min="3" max="3" width="12.7109375" customWidth="1"/>
    <col min="6" max="6" width="11" bestFit="1" customWidth="1"/>
    <col min="7" max="7" width="13.5703125" bestFit="1" customWidth="1"/>
    <col min="8" max="8" width="13.140625" bestFit="1" customWidth="1"/>
    <col min="9" max="9" width="23.42578125" bestFit="1" customWidth="1"/>
    <col min="10" max="10" width="11.7109375" customWidth="1"/>
    <col min="11" max="11" width="14.42578125" bestFit="1" customWidth="1"/>
    <col min="12" max="12" width="13" customWidth="1"/>
    <col min="13" max="13" width="11" bestFit="1" customWidth="1"/>
    <col min="14" max="14" width="13.5703125" bestFit="1" customWidth="1"/>
    <col min="15" max="15" width="16.42578125" bestFit="1" customWidth="1"/>
    <col min="16" max="16" width="12.5703125" customWidth="1"/>
    <col min="19" max="19" width="26.5703125" bestFit="1" customWidth="1"/>
    <col min="20" max="20" width="25.140625" bestFit="1" customWidth="1"/>
    <col min="21" max="21" width="10.5703125" bestFit="1" customWidth="1"/>
    <col min="22" max="22" width="13.85546875" bestFit="1" customWidth="1"/>
    <col min="24" max="24" width="25.7109375" bestFit="1" customWidth="1"/>
    <col min="25" max="25" width="24.28515625" bestFit="1" customWidth="1"/>
    <col min="26" max="26" width="10.5703125" bestFit="1" customWidth="1"/>
    <col min="27" max="27" width="12.140625" bestFit="1" customWidth="1"/>
  </cols>
  <sheetData>
    <row r="1" spans="2:40" ht="15.75" x14ac:dyDescent="0.25">
      <c r="H1" s="29"/>
      <c r="I1" s="57" t="s">
        <v>106</v>
      </c>
      <c r="J1" s="58"/>
      <c r="K1" s="36"/>
      <c r="L1" s="36"/>
      <c r="M1" s="36"/>
      <c r="N1" s="36"/>
      <c r="O1" s="59"/>
      <c r="P1" s="36"/>
      <c r="Q1" s="36"/>
      <c r="R1" s="15"/>
      <c r="X1" s="176" t="s">
        <v>163</v>
      </c>
      <c r="Y1" s="176"/>
      <c r="Z1" s="176"/>
      <c r="AA1" s="176"/>
    </row>
    <row r="2" spans="2:40" x14ac:dyDescent="0.25">
      <c r="B2" s="180" t="s">
        <v>93</v>
      </c>
      <c r="C2" s="182" t="s">
        <v>90</v>
      </c>
      <c r="D2" s="183"/>
      <c r="E2" s="184"/>
      <c r="F2" s="185" t="s">
        <v>94</v>
      </c>
      <c r="G2" s="187" t="s">
        <v>95</v>
      </c>
      <c r="H2" s="25"/>
      <c r="I2" s="21" t="s">
        <v>93</v>
      </c>
      <c r="J2" s="72" t="s">
        <v>110</v>
      </c>
      <c r="K2" s="21" t="s">
        <v>111</v>
      </c>
      <c r="L2" s="21" t="s">
        <v>112</v>
      </c>
      <c r="M2" s="21" t="s">
        <v>94</v>
      </c>
      <c r="N2" s="21" t="s">
        <v>95</v>
      </c>
      <c r="O2" s="30"/>
      <c r="P2" s="15"/>
      <c r="Q2" s="15"/>
      <c r="R2" s="15"/>
    </row>
    <row r="3" spans="2:40" ht="15.75" x14ac:dyDescent="0.25">
      <c r="B3" s="181"/>
      <c r="C3" s="55" t="s">
        <v>91</v>
      </c>
      <c r="D3" s="55" t="s">
        <v>92</v>
      </c>
      <c r="E3" s="55" t="s">
        <v>198</v>
      </c>
      <c r="F3" s="186"/>
      <c r="G3" s="187"/>
      <c r="H3" s="25"/>
      <c r="I3" s="22" t="s">
        <v>107</v>
      </c>
      <c r="J3" s="74">
        <f>F4</f>
        <v>1432</v>
      </c>
      <c r="K3" s="11">
        <f>F5</f>
        <v>737.5</v>
      </c>
      <c r="L3" s="11">
        <f>F6</f>
        <v>1170</v>
      </c>
      <c r="M3" s="11">
        <f>SUM(J3:L3)</f>
        <v>3339.5</v>
      </c>
      <c r="N3" s="14">
        <f>SUM(J3:L3)/9</f>
        <v>371.05555555555554</v>
      </c>
      <c r="O3" s="28"/>
      <c r="P3" s="15"/>
      <c r="Q3" s="15"/>
      <c r="R3" s="15"/>
      <c r="X3" s="68" t="s">
        <v>164</v>
      </c>
      <c r="Y3" s="68" t="s">
        <v>166</v>
      </c>
      <c r="Z3" s="68" t="s">
        <v>90</v>
      </c>
      <c r="AA3" s="68" t="s">
        <v>175</v>
      </c>
      <c r="AE3" t="s">
        <v>28</v>
      </c>
      <c r="AH3" t="s">
        <v>27</v>
      </c>
    </row>
    <row r="4" spans="2:40" ht="15.75" x14ac:dyDescent="0.25">
      <c r="B4" s="9" t="s">
        <v>96</v>
      </c>
      <c r="C4" s="45">
        <v>667</v>
      </c>
      <c r="D4" s="45">
        <v>347.5</v>
      </c>
      <c r="E4" s="45">
        <v>417.5</v>
      </c>
      <c r="F4" s="16">
        <f>SUM(C4:E4)</f>
        <v>1432</v>
      </c>
      <c r="G4" s="14">
        <f>AVERAGE(C4:E4)</f>
        <v>477.33333333333331</v>
      </c>
      <c r="H4" s="28"/>
      <c r="I4" s="22" t="s">
        <v>108</v>
      </c>
      <c r="J4" s="74">
        <f>F7</f>
        <v>955</v>
      </c>
      <c r="K4" s="11">
        <f>F8</f>
        <v>797.5</v>
      </c>
      <c r="L4" s="11">
        <f>F9</f>
        <v>1227</v>
      </c>
      <c r="M4" s="11">
        <f>SUM(J4:L4)</f>
        <v>2979.5</v>
      </c>
      <c r="N4" s="14">
        <f>SUM(J4:L4)/9</f>
        <v>331.05555555555554</v>
      </c>
      <c r="O4" s="28"/>
      <c r="P4" s="15"/>
      <c r="Q4" s="15"/>
      <c r="R4" s="15"/>
      <c r="X4" s="68" t="s">
        <v>107</v>
      </c>
      <c r="Y4" s="68" t="s">
        <v>110</v>
      </c>
      <c r="Z4" s="68">
        <v>1</v>
      </c>
      <c r="AA4" s="89">
        <v>667</v>
      </c>
      <c r="AD4" s="1" t="s">
        <v>0</v>
      </c>
      <c r="AE4">
        <v>667</v>
      </c>
      <c r="AF4" s="4">
        <v>0.26700000000000002</v>
      </c>
      <c r="AH4" s="2" t="s">
        <v>9</v>
      </c>
      <c r="AI4">
        <v>385</v>
      </c>
      <c r="AJ4" s="4">
        <v>0.153</v>
      </c>
      <c r="AL4" s="3" t="s">
        <v>17</v>
      </c>
      <c r="AM4">
        <v>12.5</v>
      </c>
      <c r="AN4" s="4">
        <v>5.0000000000000001E-3</v>
      </c>
    </row>
    <row r="5" spans="2:40" ht="15.75" x14ac:dyDescent="0.25">
      <c r="B5" s="9" t="s">
        <v>97</v>
      </c>
      <c r="C5" s="45">
        <v>267.5</v>
      </c>
      <c r="D5" s="45">
        <v>252.5</v>
      </c>
      <c r="E5" s="45">
        <v>217.5</v>
      </c>
      <c r="F5" s="16">
        <f t="shared" ref="F5:F12" si="0">SUM(C5:E5)</f>
        <v>737.5</v>
      </c>
      <c r="G5" s="14">
        <f t="shared" ref="G5:G12" si="1">AVERAGE(C5:E5)</f>
        <v>245.83333333333334</v>
      </c>
      <c r="H5" s="28"/>
      <c r="I5" s="22" t="s">
        <v>109</v>
      </c>
      <c r="J5" s="74">
        <f>F10</f>
        <v>90</v>
      </c>
      <c r="K5" s="11">
        <f>F11</f>
        <v>250</v>
      </c>
      <c r="L5" s="11">
        <f>F12</f>
        <v>329.5</v>
      </c>
      <c r="M5" s="11">
        <f>SUM(J5:L5)</f>
        <v>669.5</v>
      </c>
      <c r="N5" s="14">
        <f>SUM(J5:L5)/9</f>
        <v>74.388888888888886</v>
      </c>
      <c r="O5" s="28"/>
      <c r="P5" s="15"/>
      <c r="Q5" s="15"/>
      <c r="R5" s="15"/>
      <c r="X5" s="68" t="s">
        <v>107</v>
      </c>
      <c r="Y5" s="68" t="s">
        <v>110</v>
      </c>
      <c r="Z5" s="68">
        <v>2</v>
      </c>
      <c r="AA5" s="89">
        <v>347.5</v>
      </c>
      <c r="AD5" s="1" t="s">
        <v>1</v>
      </c>
      <c r="AE5">
        <v>347.5</v>
      </c>
      <c r="AF5" s="4">
        <v>0.13900000000000001</v>
      </c>
      <c r="AH5" s="2" t="s">
        <v>10</v>
      </c>
      <c r="AI5">
        <v>345</v>
      </c>
      <c r="AJ5" s="4">
        <v>0.13800000000000001</v>
      </c>
      <c r="AL5" s="3" t="s">
        <v>19</v>
      </c>
      <c r="AM5">
        <v>47.5</v>
      </c>
      <c r="AN5" s="4">
        <v>1.9E-2</v>
      </c>
    </row>
    <row r="6" spans="2:40" ht="15.75" x14ac:dyDescent="0.25">
      <c r="B6" s="9" t="s">
        <v>98</v>
      </c>
      <c r="C6" s="45">
        <v>300</v>
      </c>
      <c r="D6" s="45">
        <v>500</v>
      </c>
      <c r="E6" s="45">
        <v>370</v>
      </c>
      <c r="F6" s="16">
        <f t="shared" si="0"/>
        <v>1170</v>
      </c>
      <c r="G6" s="14">
        <f t="shared" si="1"/>
        <v>390</v>
      </c>
      <c r="H6" s="28"/>
      <c r="I6" s="23" t="s">
        <v>113</v>
      </c>
      <c r="J6" s="74">
        <f>SUM(J3:J5)</f>
        <v>2477</v>
      </c>
      <c r="K6" s="11">
        <f>SUM(K3:K5)</f>
        <v>1785</v>
      </c>
      <c r="L6" s="11">
        <f>SUM(L3:L5)</f>
        <v>2726.5</v>
      </c>
      <c r="M6" s="32">
        <f>SUM(M3:M5)</f>
        <v>6988.5</v>
      </c>
      <c r="N6" s="11"/>
      <c r="O6" s="31"/>
      <c r="P6" s="15"/>
      <c r="Q6" s="15"/>
      <c r="R6" s="15"/>
      <c r="X6" s="68" t="s">
        <v>107</v>
      </c>
      <c r="Y6" s="68" t="s">
        <v>110</v>
      </c>
      <c r="Z6" s="68">
        <v>3</v>
      </c>
      <c r="AA6" s="89">
        <v>417.5</v>
      </c>
      <c r="AD6" s="1" t="s">
        <v>2</v>
      </c>
      <c r="AE6">
        <v>417.5</v>
      </c>
      <c r="AF6" s="4">
        <v>0.16700000000000001</v>
      </c>
      <c r="AH6" s="2" t="s">
        <v>11</v>
      </c>
      <c r="AI6">
        <v>225</v>
      </c>
      <c r="AJ6" s="4">
        <v>0.09</v>
      </c>
      <c r="AL6" s="3" t="s">
        <v>20</v>
      </c>
      <c r="AM6">
        <v>30</v>
      </c>
      <c r="AN6" s="4">
        <v>1.2E-2</v>
      </c>
    </row>
    <row r="7" spans="2:40" ht="15.75" x14ac:dyDescent="0.25">
      <c r="B7" s="9" t="s">
        <v>99</v>
      </c>
      <c r="C7" s="45">
        <v>385</v>
      </c>
      <c r="D7" s="45">
        <v>345</v>
      </c>
      <c r="E7" s="45">
        <v>225</v>
      </c>
      <c r="F7" s="16">
        <f t="shared" si="0"/>
        <v>955</v>
      </c>
      <c r="G7" s="14">
        <f t="shared" si="1"/>
        <v>318.33333333333331</v>
      </c>
      <c r="H7" s="28"/>
      <c r="I7" s="23" t="s">
        <v>95</v>
      </c>
      <c r="J7" s="123">
        <f>SUM(J3:J5)/9</f>
        <v>275.22222222222223</v>
      </c>
      <c r="K7" s="123">
        <f>SUM(K3:K5)/9</f>
        <v>198.33333333333334</v>
      </c>
      <c r="L7" s="123">
        <f>SUM(L3:L5)/9</f>
        <v>302.94444444444446</v>
      </c>
      <c r="M7" s="11"/>
      <c r="N7" s="11"/>
      <c r="O7" s="26"/>
      <c r="P7" s="15"/>
      <c r="Q7" s="15"/>
      <c r="R7" s="15"/>
      <c r="X7" s="68" t="s">
        <v>107</v>
      </c>
      <c r="Y7" s="68" t="s">
        <v>111</v>
      </c>
      <c r="Z7" s="68">
        <v>1</v>
      </c>
      <c r="AA7" s="89">
        <v>267.5</v>
      </c>
      <c r="AD7" s="7" t="s">
        <v>3</v>
      </c>
      <c r="AE7">
        <v>267.5</v>
      </c>
      <c r="AF7" s="4">
        <v>0.107</v>
      </c>
      <c r="AH7" s="6" t="s">
        <v>12</v>
      </c>
      <c r="AI7">
        <v>252.5</v>
      </c>
      <c r="AJ7" s="4">
        <v>0.10099999999999999</v>
      </c>
      <c r="AL7" s="5" t="s">
        <v>21</v>
      </c>
      <c r="AM7">
        <v>120</v>
      </c>
      <c r="AN7" s="4">
        <v>4.8000000000000001E-2</v>
      </c>
    </row>
    <row r="8" spans="2:40" ht="15.75" x14ac:dyDescent="0.25">
      <c r="B8" s="9" t="s">
        <v>100</v>
      </c>
      <c r="C8" s="45">
        <v>252.5</v>
      </c>
      <c r="D8" s="45">
        <v>335</v>
      </c>
      <c r="E8" s="45">
        <v>210</v>
      </c>
      <c r="F8" s="16">
        <f t="shared" si="0"/>
        <v>797.5</v>
      </c>
      <c r="G8" s="14">
        <f>AVERAGE(C8:E8)</f>
        <v>265.83333333333331</v>
      </c>
      <c r="H8" s="28"/>
      <c r="I8" s="15"/>
      <c r="J8" s="39"/>
      <c r="K8" s="15"/>
      <c r="L8" s="15"/>
      <c r="M8" s="15"/>
      <c r="N8" s="15"/>
      <c r="O8" s="15"/>
      <c r="P8" s="15"/>
      <c r="Q8" s="15"/>
      <c r="R8" s="15"/>
      <c r="X8" s="68" t="s">
        <v>107</v>
      </c>
      <c r="Y8" s="68" t="s">
        <v>111</v>
      </c>
      <c r="Z8" s="68">
        <v>2</v>
      </c>
      <c r="AA8" s="89">
        <v>252.5</v>
      </c>
      <c r="AD8" s="7" t="s">
        <v>4</v>
      </c>
      <c r="AE8">
        <v>252.5</v>
      </c>
      <c r="AF8" s="4">
        <v>0.10100000000000001</v>
      </c>
      <c r="AH8" s="6" t="s">
        <v>13</v>
      </c>
      <c r="AI8">
        <v>335</v>
      </c>
      <c r="AJ8" s="4">
        <v>0.13400000000000001</v>
      </c>
      <c r="AL8" s="5" t="s">
        <v>22</v>
      </c>
      <c r="AM8">
        <v>82.5</v>
      </c>
      <c r="AN8" s="4">
        <v>3.3000000000000002E-2</v>
      </c>
    </row>
    <row r="9" spans="2:40" ht="15.75" x14ac:dyDescent="0.25">
      <c r="B9" s="9" t="s">
        <v>101</v>
      </c>
      <c r="C9" s="45">
        <v>325</v>
      </c>
      <c r="D9" s="45">
        <v>560</v>
      </c>
      <c r="E9" s="45">
        <v>342</v>
      </c>
      <c r="F9" s="16">
        <f t="shared" si="0"/>
        <v>1227</v>
      </c>
      <c r="G9" s="14">
        <f>AVERAGE(C9:E9)</f>
        <v>409</v>
      </c>
      <c r="H9" s="28"/>
      <c r="I9" s="15" t="s">
        <v>119</v>
      </c>
      <c r="J9" s="42">
        <f>(SUMSQ(M3:M5)/(C16*C18))-C20</f>
        <v>466466.66666666651</v>
      </c>
      <c r="K9" s="15"/>
      <c r="L9" s="15"/>
      <c r="M9" s="15"/>
      <c r="N9" s="15"/>
      <c r="O9" s="15"/>
      <c r="P9" s="15"/>
      <c r="Q9" s="15"/>
      <c r="R9" s="15"/>
      <c r="X9" s="68" t="s">
        <v>107</v>
      </c>
      <c r="Y9" s="68" t="s">
        <v>111</v>
      </c>
      <c r="Z9" s="68">
        <v>3</v>
      </c>
      <c r="AA9" s="89">
        <v>217.5</v>
      </c>
      <c r="AD9" s="7" t="s">
        <v>5</v>
      </c>
      <c r="AE9">
        <v>217.5</v>
      </c>
      <c r="AF9" s="4">
        <v>8.6999999999999994E-2</v>
      </c>
      <c r="AH9" s="6" t="s">
        <v>14</v>
      </c>
      <c r="AI9">
        <v>210</v>
      </c>
      <c r="AJ9" s="4">
        <v>8.4000000000000005E-2</v>
      </c>
      <c r="AL9" s="5" t="s">
        <v>23</v>
      </c>
      <c r="AM9">
        <v>47.5</v>
      </c>
      <c r="AN9" s="4">
        <v>1.9E-2</v>
      </c>
    </row>
    <row r="10" spans="2:40" ht="15.75" x14ac:dyDescent="0.25">
      <c r="B10" s="9" t="s">
        <v>102</v>
      </c>
      <c r="C10" s="45">
        <v>12.5</v>
      </c>
      <c r="D10" s="45">
        <v>47.5</v>
      </c>
      <c r="E10" s="45">
        <v>30</v>
      </c>
      <c r="F10" s="16">
        <f t="shared" si="0"/>
        <v>90</v>
      </c>
      <c r="G10" s="14">
        <f t="shared" si="1"/>
        <v>30</v>
      </c>
      <c r="H10" s="28"/>
      <c r="I10" s="15" t="s">
        <v>120</v>
      </c>
      <c r="J10" s="42">
        <f>(SUMSQ(J6:L6)/(C17*C18))-C20</f>
        <v>52871.722222222248</v>
      </c>
      <c r="K10" s="15"/>
      <c r="L10" s="15"/>
      <c r="M10" s="15"/>
      <c r="N10" s="15"/>
      <c r="O10" s="15"/>
      <c r="P10" s="15"/>
      <c r="Q10" s="15"/>
      <c r="R10" s="15"/>
      <c r="X10" s="68" t="s">
        <v>107</v>
      </c>
      <c r="Y10" s="68" t="s">
        <v>112</v>
      </c>
      <c r="Z10" s="68">
        <v>1</v>
      </c>
      <c r="AA10" s="89">
        <v>300</v>
      </c>
      <c r="AD10" s="1" t="s">
        <v>6</v>
      </c>
      <c r="AE10">
        <v>300</v>
      </c>
      <c r="AF10" s="4">
        <v>0.12</v>
      </c>
      <c r="AH10" s="2" t="s">
        <v>15</v>
      </c>
      <c r="AI10">
        <v>325</v>
      </c>
      <c r="AJ10" s="4">
        <v>0.13</v>
      </c>
      <c r="AL10" s="3" t="s">
        <v>24</v>
      </c>
      <c r="AM10">
        <v>120</v>
      </c>
      <c r="AN10" s="4">
        <v>4.8000000000000001E-2</v>
      </c>
    </row>
    <row r="11" spans="2:40" ht="15.75" x14ac:dyDescent="0.25">
      <c r="B11" s="9" t="s">
        <v>103</v>
      </c>
      <c r="C11" s="45">
        <v>120</v>
      </c>
      <c r="D11" s="45">
        <v>82.5</v>
      </c>
      <c r="E11" s="45">
        <v>47.5</v>
      </c>
      <c r="F11" s="16">
        <f t="shared" si="0"/>
        <v>250</v>
      </c>
      <c r="G11" s="14">
        <f t="shared" si="1"/>
        <v>83.333333333333329</v>
      </c>
      <c r="H11" s="28"/>
      <c r="I11" s="41" t="s">
        <v>134</v>
      </c>
      <c r="J11" s="42">
        <f>C23-J9-J10</f>
        <v>70525.11111111124</v>
      </c>
      <c r="K11" s="15"/>
      <c r="L11" s="15"/>
      <c r="M11" s="15"/>
      <c r="N11" s="15"/>
      <c r="O11" s="15"/>
      <c r="P11" s="15" t="s">
        <v>197</v>
      </c>
      <c r="Q11" s="15"/>
      <c r="R11" s="15"/>
      <c r="X11" s="68" t="s">
        <v>107</v>
      </c>
      <c r="Y11" s="68" t="s">
        <v>112</v>
      </c>
      <c r="Z11" s="68">
        <v>2</v>
      </c>
      <c r="AA11" s="89">
        <v>500</v>
      </c>
      <c r="AD11" s="1" t="s">
        <v>7</v>
      </c>
      <c r="AE11">
        <v>500</v>
      </c>
      <c r="AF11" s="4">
        <v>0.2</v>
      </c>
      <c r="AH11" s="2" t="s">
        <v>16</v>
      </c>
      <c r="AI11">
        <v>560</v>
      </c>
      <c r="AJ11" s="4">
        <v>0.22399999999999998</v>
      </c>
      <c r="AL11" s="3" t="s">
        <v>26</v>
      </c>
      <c r="AM11">
        <v>67.5</v>
      </c>
      <c r="AN11" s="4">
        <v>2.7000000000000003E-2</v>
      </c>
    </row>
    <row r="12" spans="2:40" ht="15.75" x14ac:dyDescent="0.25">
      <c r="B12" s="9" t="s">
        <v>104</v>
      </c>
      <c r="C12" s="45">
        <v>120</v>
      </c>
      <c r="D12" s="45">
        <v>67.5</v>
      </c>
      <c r="E12" s="45">
        <v>142</v>
      </c>
      <c r="F12" s="16">
        <f t="shared" si="0"/>
        <v>329.5</v>
      </c>
      <c r="G12" s="14">
        <f t="shared" si="1"/>
        <v>109.83333333333333</v>
      </c>
      <c r="H12" s="28"/>
      <c r="I12" s="15"/>
      <c r="J12" s="15"/>
      <c r="K12" s="15"/>
      <c r="L12" s="15"/>
      <c r="M12" s="15"/>
      <c r="N12" s="15"/>
      <c r="O12" s="15"/>
      <c r="P12" s="15"/>
      <c r="Q12" s="15"/>
      <c r="R12" s="15"/>
      <c r="X12" s="68" t="s">
        <v>107</v>
      </c>
      <c r="Y12" s="68" t="s">
        <v>112</v>
      </c>
      <c r="Z12" s="68">
        <v>3</v>
      </c>
      <c r="AA12" s="89">
        <v>370</v>
      </c>
      <c r="AD12" s="1" t="s">
        <v>8</v>
      </c>
      <c r="AE12">
        <v>370</v>
      </c>
      <c r="AF12" s="4">
        <v>0.14800000000000002</v>
      </c>
      <c r="AH12" s="2" t="s">
        <v>18</v>
      </c>
      <c r="AI12">
        <v>342.5</v>
      </c>
      <c r="AJ12" s="4">
        <v>0.13699999999999998</v>
      </c>
      <c r="AL12" s="3" t="s">
        <v>25</v>
      </c>
      <c r="AM12">
        <v>142</v>
      </c>
      <c r="AN12" s="4">
        <v>5.7000000000000002E-2</v>
      </c>
    </row>
    <row r="13" spans="2:40" ht="15.75" x14ac:dyDescent="0.25">
      <c r="B13" s="23" t="s">
        <v>94</v>
      </c>
      <c r="C13" s="11">
        <f>SUM(C4:C12)</f>
        <v>2449.5</v>
      </c>
      <c r="D13" s="11">
        <f>SUM(D4:D12)</f>
        <v>2537.5</v>
      </c>
      <c r="E13" s="11">
        <f>SUM(E4:E12)</f>
        <v>2001.5</v>
      </c>
      <c r="F13" s="88">
        <f>SUM(F4:F12)</f>
        <v>6988.5</v>
      </c>
      <c r="G13" s="9"/>
      <c r="H13" s="29"/>
      <c r="I13" s="38" t="s">
        <v>121</v>
      </c>
      <c r="J13" s="15"/>
      <c r="K13" s="15"/>
      <c r="L13" s="15"/>
      <c r="M13" s="15"/>
      <c r="N13" s="15"/>
      <c r="O13" s="15"/>
      <c r="P13" s="15"/>
      <c r="Q13" s="15"/>
      <c r="R13" s="15"/>
      <c r="X13" s="68" t="s">
        <v>108</v>
      </c>
      <c r="Y13" s="68" t="s">
        <v>110</v>
      </c>
      <c r="Z13" s="68">
        <v>1</v>
      </c>
      <c r="AA13" s="89">
        <v>385</v>
      </c>
    </row>
    <row r="14" spans="2:40" ht="15.75" x14ac:dyDescent="0.25">
      <c r="B14" s="23" t="s">
        <v>95</v>
      </c>
      <c r="C14" s="45">
        <f>AVERAGE(C4:C12)</f>
        <v>272.16666666666669</v>
      </c>
      <c r="D14" s="45">
        <f>AVERAGE(D4:D12)</f>
        <v>281.94444444444446</v>
      </c>
      <c r="E14" s="45">
        <f>AVERAGE(E4:E12)</f>
        <v>222.38888888888889</v>
      </c>
      <c r="F14" s="56"/>
      <c r="G14" s="9"/>
      <c r="H14" s="29"/>
      <c r="I14" s="20" t="s">
        <v>122</v>
      </c>
      <c r="J14" s="53" t="s">
        <v>123</v>
      </c>
      <c r="K14" s="55" t="s">
        <v>124</v>
      </c>
      <c r="L14" s="55" t="s">
        <v>125</v>
      </c>
      <c r="M14" s="55" t="s">
        <v>126</v>
      </c>
      <c r="N14" s="55" t="s">
        <v>127</v>
      </c>
      <c r="O14" s="54" t="s">
        <v>135</v>
      </c>
      <c r="P14" s="55" t="s">
        <v>128</v>
      </c>
      <c r="Q14" s="15"/>
      <c r="R14" s="15"/>
      <c r="X14" s="68" t="s">
        <v>108</v>
      </c>
      <c r="Y14" s="68" t="s">
        <v>110</v>
      </c>
      <c r="Z14" s="68">
        <v>2</v>
      </c>
      <c r="AA14" s="89">
        <v>345</v>
      </c>
    </row>
    <row r="15" spans="2:40" ht="15.75" x14ac:dyDescent="0.25">
      <c r="B15" s="15"/>
      <c r="C15" s="15"/>
      <c r="D15" s="15"/>
      <c r="E15" s="15"/>
      <c r="F15" s="15"/>
      <c r="G15" s="15"/>
      <c r="H15" s="29"/>
      <c r="I15" s="9" t="s">
        <v>129</v>
      </c>
      <c r="J15" s="70">
        <f>C18-1</f>
        <v>2</v>
      </c>
      <c r="K15" s="11">
        <f>C22</f>
        <v>18360.888888888992</v>
      </c>
      <c r="L15" s="11">
        <f t="shared" ref="L15:L20" si="2">K15/J15</f>
        <v>9180.4444444444962</v>
      </c>
      <c r="M15" s="17">
        <f>L15/L$20</f>
        <v>1.1997678484644088</v>
      </c>
      <c r="N15" s="17">
        <f>FINV(0.05,J15,J$20)</f>
        <v>3.6337234675916301</v>
      </c>
      <c r="O15" s="17">
        <f>FINV(0.01,J15,J$20)</f>
        <v>6.2262352803113821</v>
      </c>
      <c r="P15" s="9" t="s">
        <v>142</v>
      </c>
      <c r="Q15" s="15"/>
      <c r="R15" s="67"/>
      <c r="X15" s="68" t="s">
        <v>108</v>
      </c>
      <c r="Y15" s="68" t="s">
        <v>110</v>
      </c>
      <c r="Z15" s="68">
        <v>3</v>
      </c>
      <c r="AA15" s="89">
        <v>225</v>
      </c>
    </row>
    <row r="16" spans="2:40" ht="15" customHeight="1" x14ac:dyDescent="0.25">
      <c r="B16" s="29" t="s">
        <v>153</v>
      </c>
      <c r="C16">
        <v>3</v>
      </c>
      <c r="D16" s="15"/>
      <c r="E16" s="15"/>
      <c r="F16" s="15"/>
      <c r="G16" s="15"/>
      <c r="H16" s="29"/>
      <c r="I16" s="9" t="s">
        <v>93</v>
      </c>
      <c r="J16" s="70">
        <f>(C16*C17)-1</f>
        <v>8</v>
      </c>
      <c r="K16" s="11">
        <f>C23</f>
        <v>589863.5</v>
      </c>
      <c r="L16" s="11">
        <f t="shared" si="2"/>
        <v>73732.9375</v>
      </c>
      <c r="M16" s="17">
        <f>L16/L$20</f>
        <v>9.6359613437744134</v>
      </c>
      <c r="N16" s="17">
        <f>FINV(0.05,J16,J$20)</f>
        <v>2.5910961798744014</v>
      </c>
      <c r="O16" s="17">
        <f>FINV(0.01,J16,J$20)</f>
        <v>3.8895721399261927</v>
      </c>
      <c r="P16" s="9" t="s">
        <v>137</v>
      </c>
      <c r="Q16" s="15"/>
      <c r="R16" s="67"/>
      <c r="X16" s="68" t="s">
        <v>108</v>
      </c>
      <c r="Y16" s="68" t="s">
        <v>111</v>
      </c>
      <c r="Z16" s="68">
        <v>1</v>
      </c>
      <c r="AA16" s="89">
        <v>252.5</v>
      </c>
    </row>
    <row r="17" spans="2:27" ht="15.75" x14ac:dyDescent="0.25">
      <c r="B17" t="s">
        <v>131</v>
      </c>
      <c r="C17">
        <v>3</v>
      </c>
      <c r="D17" s="15"/>
      <c r="E17" s="15"/>
      <c r="F17" s="15"/>
      <c r="G17" s="15"/>
      <c r="H17" s="29"/>
      <c r="I17" s="9" t="s">
        <v>130</v>
      </c>
      <c r="J17" s="70">
        <f>C16-1</f>
        <v>2</v>
      </c>
      <c r="K17" s="11">
        <f>J9</f>
        <v>466466.66666666651</v>
      </c>
      <c r="L17" s="11">
        <f t="shared" si="2"/>
        <v>233233.33333333326</v>
      </c>
      <c r="M17" s="17">
        <f>L17/L$20</f>
        <v>30.480643526234818</v>
      </c>
      <c r="N17" s="17">
        <f>FINV(0.05,J17,J$20)</f>
        <v>3.6337234675916301</v>
      </c>
      <c r="O17" s="17">
        <f>FINV(0.01,J17,J$20)</f>
        <v>6.2262352803113821</v>
      </c>
      <c r="P17" s="9" t="s">
        <v>137</v>
      </c>
      <c r="Q17" s="15"/>
      <c r="R17" s="67"/>
      <c r="X17" s="68" t="s">
        <v>108</v>
      </c>
      <c r="Y17" s="68" t="s">
        <v>111</v>
      </c>
      <c r="Z17" s="68">
        <v>2</v>
      </c>
      <c r="AA17" s="89">
        <v>335</v>
      </c>
    </row>
    <row r="18" spans="2:27" ht="15.75" x14ac:dyDescent="0.25">
      <c r="B18" t="s">
        <v>105</v>
      </c>
      <c r="C18">
        <v>3</v>
      </c>
      <c r="D18" s="15"/>
      <c r="E18" s="15"/>
      <c r="F18" s="15"/>
      <c r="G18" s="15"/>
      <c r="H18" s="29"/>
      <c r="I18" s="9" t="s">
        <v>131</v>
      </c>
      <c r="J18" s="70">
        <f>C17-1</f>
        <v>2</v>
      </c>
      <c r="K18" s="11">
        <f>J10</f>
        <v>52871.722222222248</v>
      </c>
      <c r="L18" s="11">
        <f t="shared" si="2"/>
        <v>26435.861111111124</v>
      </c>
      <c r="M18" s="17">
        <f>L18/L$20</f>
        <v>3.4548323231534899</v>
      </c>
      <c r="N18" s="17">
        <f>FINV(0.05,J18,J$20)</f>
        <v>3.6337234675916301</v>
      </c>
      <c r="O18" s="17">
        <f>FINV(0.01,J18,J$20)</f>
        <v>6.2262352803113821</v>
      </c>
      <c r="P18" s="9" t="s">
        <v>142</v>
      </c>
      <c r="Q18" s="15"/>
      <c r="R18" s="67"/>
      <c r="X18" s="68" t="s">
        <v>108</v>
      </c>
      <c r="Y18" s="68" t="s">
        <v>111</v>
      </c>
      <c r="Z18" s="68">
        <v>3</v>
      </c>
      <c r="AA18" s="89">
        <v>210</v>
      </c>
    </row>
    <row r="19" spans="2:27" ht="15.75" x14ac:dyDescent="0.25">
      <c r="D19" s="15"/>
      <c r="E19" s="15"/>
      <c r="F19" s="15"/>
      <c r="G19" s="15"/>
      <c r="H19" s="29"/>
      <c r="I19" s="9" t="s">
        <v>132</v>
      </c>
      <c r="J19" s="70">
        <f>J17*J18</f>
        <v>4</v>
      </c>
      <c r="K19" s="11">
        <f>J11</f>
        <v>70525.11111111124</v>
      </c>
      <c r="L19" s="11">
        <f t="shared" si="2"/>
        <v>17631.27777777781</v>
      </c>
      <c r="M19" s="17">
        <f>L19/L$20</f>
        <v>2.3041847628546712</v>
      </c>
      <c r="N19" s="17">
        <f>FINV(0.05,J19,J$20)</f>
        <v>3.0069172799243447</v>
      </c>
      <c r="O19" s="17">
        <f>FINV(0.01,J19,J$20)</f>
        <v>4.772577999723211</v>
      </c>
      <c r="P19" s="9" t="s">
        <v>142</v>
      </c>
      <c r="Q19" s="15"/>
      <c r="R19" s="15"/>
      <c r="X19" s="68" t="s">
        <v>108</v>
      </c>
      <c r="Y19" s="68" t="s">
        <v>112</v>
      </c>
      <c r="Z19" s="68">
        <v>1</v>
      </c>
      <c r="AA19" s="89">
        <v>325</v>
      </c>
    </row>
    <row r="20" spans="2:27" ht="15.75" x14ac:dyDescent="0.25">
      <c r="B20" t="s">
        <v>114</v>
      </c>
      <c r="C20" s="8">
        <f>(F13^2)/(C16*C17*C18)</f>
        <v>1808856.75</v>
      </c>
      <c r="D20" s="15"/>
      <c r="E20" s="15"/>
      <c r="F20" s="15"/>
      <c r="G20" s="15"/>
      <c r="H20" s="29"/>
      <c r="I20" s="9" t="s">
        <v>133</v>
      </c>
      <c r="J20" s="70">
        <f>(C18-1)*((C16*C17)-1)</f>
        <v>16</v>
      </c>
      <c r="K20" s="11">
        <f>C24</f>
        <v>122429.61111111101</v>
      </c>
      <c r="L20" s="14">
        <f t="shared" si="2"/>
        <v>7651.850694444438</v>
      </c>
      <c r="M20" s="24"/>
      <c r="N20" s="24"/>
      <c r="O20" s="24"/>
      <c r="P20" s="24"/>
      <c r="Q20" s="15"/>
      <c r="R20" s="15"/>
      <c r="X20" s="68" t="s">
        <v>108</v>
      </c>
      <c r="Y20" s="68" t="s">
        <v>112</v>
      </c>
      <c r="Z20" s="68">
        <v>2</v>
      </c>
      <c r="AA20" s="89">
        <v>560</v>
      </c>
    </row>
    <row r="21" spans="2:27" ht="15.75" x14ac:dyDescent="0.25">
      <c r="B21" t="s">
        <v>115</v>
      </c>
      <c r="C21" s="8">
        <f>(SUMSQ(C4:E12))-C20</f>
        <v>730654</v>
      </c>
      <c r="D21" s="15"/>
      <c r="E21" s="15"/>
      <c r="F21" s="15"/>
      <c r="G21" s="15"/>
      <c r="H21" s="29"/>
      <c r="I21" s="9" t="s">
        <v>94</v>
      </c>
      <c r="J21" s="70">
        <f>J15+J16+J20</f>
        <v>26</v>
      </c>
      <c r="K21" s="11">
        <f>C21</f>
        <v>730654</v>
      </c>
      <c r="L21" s="62"/>
      <c r="M21" s="24"/>
      <c r="N21" s="24"/>
      <c r="O21" s="24"/>
      <c r="P21" s="24"/>
      <c r="Q21" s="15"/>
      <c r="R21" s="15"/>
      <c r="X21" s="68" t="s">
        <v>108</v>
      </c>
      <c r="Y21" s="68" t="s">
        <v>112</v>
      </c>
      <c r="Z21" s="68">
        <v>3</v>
      </c>
      <c r="AA21" s="89">
        <v>342</v>
      </c>
    </row>
    <row r="22" spans="2:27" ht="15.75" x14ac:dyDescent="0.25">
      <c r="B22" t="s">
        <v>116</v>
      </c>
      <c r="C22" s="8">
        <f>(SUMSQ(C13:E13)/(C16*C17))-C20</f>
        <v>18360.888888888992</v>
      </c>
      <c r="D22" s="15"/>
      <c r="E22" s="15"/>
      <c r="F22" s="15"/>
      <c r="G22" s="15"/>
      <c r="H22" s="29"/>
      <c r="I22" s="15"/>
      <c r="J22" s="15"/>
      <c r="K22" s="15"/>
      <c r="L22" s="15"/>
      <c r="M22" s="15"/>
      <c r="N22" s="15"/>
      <c r="O22" s="15"/>
      <c r="P22" s="15"/>
      <c r="Q22" s="15"/>
      <c r="R22" s="15"/>
      <c r="X22" s="68" t="s">
        <v>109</v>
      </c>
      <c r="Y22" s="68" t="s">
        <v>110</v>
      </c>
      <c r="Z22" s="68">
        <v>1</v>
      </c>
      <c r="AA22" s="89">
        <v>12.5</v>
      </c>
    </row>
    <row r="23" spans="2:27" ht="15.75" x14ac:dyDescent="0.25">
      <c r="B23" t="s">
        <v>117</v>
      </c>
      <c r="C23" s="8">
        <f>(SUMSQ(F4:F12)/C18)-C20</f>
        <v>589863.5</v>
      </c>
      <c r="D23" s="15"/>
      <c r="E23" s="15"/>
      <c r="F23" s="15"/>
      <c r="G23" s="15"/>
      <c r="H23" s="29"/>
      <c r="I23" s="60" t="s">
        <v>151</v>
      </c>
      <c r="J23" s="61"/>
      <c r="K23" s="61"/>
      <c r="L23" s="61"/>
      <c r="M23" s="61"/>
      <c r="N23" s="15"/>
      <c r="O23" s="15"/>
      <c r="P23" s="15"/>
      <c r="Q23" s="15"/>
      <c r="R23" s="15"/>
      <c r="X23" s="68" t="s">
        <v>109</v>
      </c>
      <c r="Y23" s="68" t="s">
        <v>110</v>
      </c>
      <c r="Z23" s="68">
        <v>2</v>
      </c>
      <c r="AA23" s="89">
        <v>47.5</v>
      </c>
    </row>
    <row r="24" spans="2:27" ht="15.75" x14ac:dyDescent="0.25">
      <c r="B24" t="s">
        <v>118</v>
      </c>
      <c r="C24" s="8">
        <f>C21-C22-C23</f>
        <v>122429.61111111101</v>
      </c>
      <c r="D24" s="15"/>
      <c r="E24" s="15"/>
      <c r="F24" s="15"/>
      <c r="G24" s="15"/>
      <c r="H24" s="29"/>
      <c r="I24" s="64" t="s">
        <v>178</v>
      </c>
      <c r="J24" s="192" t="s">
        <v>160</v>
      </c>
      <c r="K24" s="192"/>
      <c r="L24" s="192"/>
      <c r="M24" s="192"/>
      <c r="N24" s="15"/>
      <c r="O24" s="15"/>
      <c r="P24" s="15"/>
      <c r="Q24" s="15"/>
      <c r="R24" s="15"/>
      <c r="X24" s="68" t="s">
        <v>109</v>
      </c>
      <c r="Y24" s="68" t="s">
        <v>110</v>
      </c>
      <c r="Z24" s="68">
        <v>3</v>
      </c>
      <c r="AA24" s="89">
        <v>30</v>
      </c>
    </row>
    <row r="25" spans="2:27" ht="14.25" customHeight="1" x14ac:dyDescent="0.25">
      <c r="C25" s="4"/>
      <c r="H25" s="29"/>
      <c r="I25" s="61"/>
      <c r="J25" s="192" t="s">
        <v>177</v>
      </c>
      <c r="K25" s="192"/>
      <c r="L25" s="192"/>
      <c r="M25" s="192"/>
      <c r="N25" s="15"/>
      <c r="O25" s="15"/>
      <c r="P25" s="15"/>
      <c r="Q25" s="15"/>
      <c r="R25" s="15"/>
      <c r="X25" s="68" t="s">
        <v>109</v>
      </c>
      <c r="Y25" s="68" t="s">
        <v>111</v>
      </c>
      <c r="Z25" s="68">
        <v>1</v>
      </c>
      <c r="AA25" s="89">
        <v>120</v>
      </c>
    </row>
    <row r="26" spans="2:27" ht="15.75" x14ac:dyDescent="0.25">
      <c r="H26" s="15"/>
      <c r="I26" s="61"/>
      <c r="J26" s="64">
        <v>3.65</v>
      </c>
      <c r="K26" s="64" t="s">
        <v>152</v>
      </c>
      <c r="L26" s="65">
        <f>SQRT(L20/9)</f>
        <v>29.158285832950618</v>
      </c>
      <c r="M26" s="61"/>
      <c r="N26" s="15"/>
      <c r="O26" s="15"/>
      <c r="P26" s="15"/>
      <c r="Q26" s="15"/>
      <c r="R26" s="15"/>
      <c r="X26" s="68" t="s">
        <v>109</v>
      </c>
      <c r="Y26" s="68" t="s">
        <v>111</v>
      </c>
      <c r="Z26" s="68">
        <v>2</v>
      </c>
      <c r="AA26" s="89">
        <v>82.5</v>
      </c>
    </row>
    <row r="27" spans="2:27" ht="15.75" x14ac:dyDescent="0.25">
      <c r="H27" s="15"/>
      <c r="I27" s="61"/>
      <c r="J27" s="65">
        <f>J26*L26</f>
        <v>106.42774329026976</v>
      </c>
      <c r="L27" s="61"/>
      <c r="M27" s="61"/>
      <c r="N27" s="15"/>
      <c r="O27" s="15"/>
      <c r="P27" s="15"/>
      <c r="Q27" s="15"/>
      <c r="R27" s="15"/>
      <c r="X27" s="68" t="s">
        <v>109</v>
      </c>
      <c r="Y27" s="68" t="s">
        <v>111</v>
      </c>
      <c r="Z27" s="68">
        <v>3</v>
      </c>
      <c r="AA27" s="89">
        <v>47.5</v>
      </c>
    </row>
    <row r="28" spans="2:27" ht="15.75" x14ac:dyDescent="0.25">
      <c r="H28" s="15"/>
      <c r="N28" s="15"/>
      <c r="O28" s="15"/>
      <c r="P28" s="15"/>
      <c r="Q28" s="15"/>
      <c r="R28" s="15"/>
      <c r="X28" s="68" t="s">
        <v>109</v>
      </c>
      <c r="Y28" s="68" t="s">
        <v>112</v>
      </c>
      <c r="Z28" s="68">
        <v>1</v>
      </c>
      <c r="AA28" s="89">
        <v>120</v>
      </c>
    </row>
    <row r="29" spans="2:27" ht="15.75" x14ac:dyDescent="0.25">
      <c r="H29" s="15"/>
      <c r="I29" s="64" t="s">
        <v>154</v>
      </c>
      <c r="J29" s="61"/>
      <c r="K29" s="61"/>
      <c r="L29" s="61"/>
      <c r="M29" s="61"/>
      <c r="N29" s="15"/>
      <c r="O29" s="15"/>
      <c r="P29" s="15"/>
      <c r="Q29" s="15"/>
      <c r="R29" s="15"/>
      <c r="X29" s="68" t="s">
        <v>109</v>
      </c>
      <c r="Y29" s="68" t="s">
        <v>112</v>
      </c>
      <c r="Z29" s="68">
        <v>2</v>
      </c>
      <c r="AA29" s="89">
        <v>67.5</v>
      </c>
    </row>
    <row r="30" spans="2:27" ht="15.75" x14ac:dyDescent="0.25">
      <c r="H30" s="15"/>
      <c r="I30" s="192" t="s">
        <v>155</v>
      </c>
      <c r="J30" s="192"/>
      <c r="K30" s="192"/>
      <c r="L30" s="192"/>
      <c r="M30" s="192"/>
      <c r="N30" s="15"/>
      <c r="O30" s="15"/>
      <c r="P30" s="15"/>
      <c r="Q30" s="15"/>
      <c r="R30" s="15"/>
      <c r="X30" s="68" t="s">
        <v>109</v>
      </c>
      <c r="Y30" s="68" t="s">
        <v>112</v>
      </c>
      <c r="Z30" s="68">
        <v>3</v>
      </c>
      <c r="AA30" s="89">
        <v>142</v>
      </c>
    </row>
    <row r="31" spans="2:27" ht="15.75" x14ac:dyDescent="0.25">
      <c r="H31" s="15"/>
      <c r="I31" s="192" t="s">
        <v>156</v>
      </c>
      <c r="J31" s="192"/>
      <c r="K31" s="192"/>
      <c r="L31" s="192"/>
      <c r="M31" s="192"/>
      <c r="N31" s="15"/>
      <c r="O31" s="15"/>
      <c r="P31" s="15"/>
      <c r="Q31" s="15"/>
      <c r="R31" s="15"/>
    </row>
    <row r="32" spans="2:27" x14ac:dyDescent="0.25">
      <c r="H32" s="15"/>
      <c r="I32" s="63" t="s">
        <v>157</v>
      </c>
      <c r="N32" s="15"/>
      <c r="O32" s="15"/>
      <c r="P32" s="15"/>
      <c r="Q32" s="15"/>
      <c r="R32" s="15"/>
    </row>
    <row r="33" spans="8:25" x14ac:dyDescent="0.25">
      <c r="H33" s="15"/>
      <c r="N33" s="15"/>
      <c r="O33" s="42"/>
      <c r="P33" s="15"/>
      <c r="Q33" s="15"/>
      <c r="R33" s="15"/>
    </row>
    <row r="34" spans="8:25" ht="15.75" thickBot="1" x14ac:dyDescent="0.3">
      <c r="H34" s="15"/>
      <c r="I34" s="1" t="s">
        <v>179</v>
      </c>
      <c r="N34" s="15"/>
      <c r="O34" s="15"/>
      <c r="P34" s="15"/>
      <c r="Q34" s="15"/>
      <c r="R34" s="15"/>
    </row>
    <row r="35" spans="8:25" ht="15.75" thickBot="1" x14ac:dyDescent="0.3">
      <c r="H35" s="15"/>
      <c r="I35" s="75" t="s">
        <v>93</v>
      </c>
      <c r="J35" s="46" t="s">
        <v>141</v>
      </c>
      <c r="K35" s="114" t="s">
        <v>161</v>
      </c>
      <c r="L35" s="82" t="s">
        <v>128</v>
      </c>
      <c r="N35" s="15"/>
      <c r="O35" s="29"/>
      <c r="P35" s="83"/>
      <c r="Q35" s="83"/>
      <c r="R35" s="83"/>
      <c r="S35" s="83"/>
      <c r="T35" s="83"/>
      <c r="U35" s="83"/>
      <c r="V35" s="83"/>
      <c r="W35" s="83"/>
      <c r="X35" s="83"/>
      <c r="Y35" s="27"/>
    </row>
    <row r="36" spans="8:25" x14ac:dyDescent="0.25">
      <c r="H36" s="15"/>
      <c r="I36" s="94" t="s">
        <v>109</v>
      </c>
      <c r="J36" s="42">
        <f>N5</f>
        <v>74.388888888888886</v>
      </c>
      <c r="K36" s="42">
        <f>J36+J$39</f>
        <v>180.81663217915866</v>
      </c>
      <c r="L36" s="77" t="s">
        <v>144</v>
      </c>
      <c r="O36" s="83"/>
      <c r="P36" s="83"/>
      <c r="Q36" s="27"/>
      <c r="R36" s="27"/>
      <c r="S36" s="27"/>
      <c r="T36" s="27"/>
      <c r="U36" s="27"/>
      <c r="V36" s="27"/>
      <c r="W36" s="27"/>
      <c r="X36" s="27"/>
      <c r="Y36" s="27"/>
    </row>
    <row r="37" spans="8:25" x14ac:dyDescent="0.25">
      <c r="H37" s="15"/>
      <c r="I37" s="95" t="s">
        <v>108</v>
      </c>
      <c r="J37" s="42">
        <f>N4</f>
        <v>331.05555555555554</v>
      </c>
      <c r="K37" s="42">
        <f>J37+J$39</f>
        <v>437.48329884582529</v>
      </c>
      <c r="L37" s="40" t="s">
        <v>145</v>
      </c>
      <c r="N37" s="8"/>
      <c r="O37" s="83"/>
      <c r="P37" s="83"/>
      <c r="Q37" s="83"/>
      <c r="R37" s="27"/>
      <c r="S37" s="27"/>
      <c r="T37" s="27"/>
      <c r="U37" s="27"/>
      <c r="V37" s="27"/>
      <c r="W37" s="27"/>
      <c r="X37" s="27"/>
      <c r="Y37" s="27"/>
    </row>
    <row r="38" spans="8:25" ht="15.75" thickBot="1" x14ac:dyDescent="0.3">
      <c r="H38" s="15"/>
      <c r="I38" s="96" t="s">
        <v>107</v>
      </c>
      <c r="J38" s="79">
        <f>N3</f>
        <v>371.05555555555554</v>
      </c>
      <c r="K38" s="79"/>
      <c r="L38" s="44" t="s">
        <v>145</v>
      </c>
      <c r="N38" s="8"/>
      <c r="O38" s="83"/>
      <c r="P38" s="83"/>
      <c r="Q38" s="83"/>
      <c r="R38" s="83"/>
      <c r="S38" s="27"/>
      <c r="T38" s="27"/>
      <c r="U38" s="27"/>
      <c r="V38" s="27"/>
      <c r="W38" s="27"/>
      <c r="X38" s="27"/>
      <c r="Y38" s="27"/>
    </row>
    <row r="39" spans="8:25" ht="15.75" thickBot="1" x14ac:dyDescent="0.3">
      <c r="I39" s="93" t="s">
        <v>176</v>
      </c>
      <c r="J39" s="189">
        <f>J27</f>
        <v>106.42774329026976</v>
      </c>
      <c r="K39" s="190"/>
      <c r="L39" s="191"/>
      <c r="M39" s="66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8:25" x14ac:dyDescent="0.25"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8" spans="8:25" ht="15.75" x14ac:dyDescent="0.25">
      <c r="I48" s="188" t="s">
        <v>93</v>
      </c>
      <c r="J48" s="188"/>
      <c r="K48" s="188"/>
      <c r="L48" s="188"/>
      <c r="M48" s="188"/>
      <c r="N48" s="84" t="s">
        <v>141</v>
      </c>
      <c r="O48" s="84" t="s">
        <v>168</v>
      </c>
      <c r="P48" s="84" t="s">
        <v>128</v>
      </c>
    </row>
    <row r="49" spans="9:16" ht="15.75" x14ac:dyDescent="0.25">
      <c r="I49" s="179" t="s">
        <v>180</v>
      </c>
      <c r="J49" s="179"/>
      <c r="K49" s="179"/>
      <c r="L49" s="179"/>
      <c r="M49" s="179"/>
      <c r="N49" s="85">
        <v>371.05555555555554</v>
      </c>
      <c r="O49" s="86">
        <v>3339.5</v>
      </c>
      <c r="P49" s="87" t="s">
        <v>145</v>
      </c>
    </row>
    <row r="50" spans="9:16" ht="15.75" x14ac:dyDescent="0.25">
      <c r="I50" s="175" t="s">
        <v>181</v>
      </c>
      <c r="J50" s="175"/>
      <c r="K50" s="175"/>
      <c r="L50" s="175"/>
      <c r="M50" s="175"/>
      <c r="N50" s="85">
        <v>331.05555555555554</v>
      </c>
      <c r="O50" s="86">
        <v>2979.5</v>
      </c>
      <c r="P50" s="87" t="s">
        <v>145</v>
      </c>
    </row>
    <row r="51" spans="9:16" ht="15.75" x14ac:dyDescent="0.25">
      <c r="I51" s="175" t="s">
        <v>182</v>
      </c>
      <c r="J51" s="175"/>
      <c r="K51" s="175"/>
      <c r="L51" s="175"/>
      <c r="M51" s="175"/>
      <c r="N51" s="85">
        <v>74.388888888888886</v>
      </c>
      <c r="O51" s="86">
        <v>669.5</v>
      </c>
      <c r="P51" s="87" t="s">
        <v>144</v>
      </c>
    </row>
    <row r="52" spans="9:16" ht="15.75" x14ac:dyDescent="0.25">
      <c r="I52" s="178" t="s">
        <v>176</v>
      </c>
      <c r="J52" s="178"/>
      <c r="K52" s="178"/>
      <c r="L52" s="178"/>
      <c r="M52" s="178"/>
      <c r="N52" s="174">
        <f>J39</f>
        <v>106.42774329026976</v>
      </c>
      <c r="O52" s="174"/>
      <c r="P52" s="174"/>
    </row>
  </sheetData>
  <sortState xmlns:xlrd2="http://schemas.microsoft.com/office/spreadsheetml/2017/richdata2" ref="I36:L38">
    <sortCondition ref="J36:J38"/>
  </sortState>
  <mergeCells count="16">
    <mergeCell ref="B2:B3"/>
    <mergeCell ref="C2:E2"/>
    <mergeCell ref="F2:F3"/>
    <mergeCell ref="G2:G3"/>
    <mergeCell ref="J24:M24"/>
    <mergeCell ref="J25:M25"/>
    <mergeCell ref="I30:M30"/>
    <mergeCell ref="I31:M31"/>
    <mergeCell ref="J39:L39"/>
    <mergeCell ref="X1:AA1"/>
    <mergeCell ref="I52:M52"/>
    <mergeCell ref="N52:P52"/>
    <mergeCell ref="I49:M49"/>
    <mergeCell ref="I48:M48"/>
    <mergeCell ref="I50:M50"/>
    <mergeCell ref="I51:M5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BACAE-3D1D-4424-A7E0-2D38CA543076}">
  <dimension ref="B1:AN52"/>
  <sheetViews>
    <sheetView tabSelected="1" topLeftCell="AC1" zoomScale="80" zoomScaleNormal="80" workbookViewId="0">
      <selection activeCell="AM19" sqref="AM19:AM20"/>
    </sheetView>
  </sheetViews>
  <sheetFormatPr defaultRowHeight="15" x14ac:dyDescent="0.25"/>
  <cols>
    <col min="2" max="2" width="13.85546875" customWidth="1"/>
    <col min="3" max="3" width="12.7109375" customWidth="1"/>
    <col min="6" max="6" width="11" bestFit="1" customWidth="1"/>
    <col min="7" max="7" width="13.5703125" bestFit="1" customWidth="1"/>
    <col min="8" max="8" width="13.140625" bestFit="1" customWidth="1"/>
    <col min="9" max="9" width="23.42578125" bestFit="1" customWidth="1"/>
    <col min="10" max="10" width="14.28515625" customWidth="1"/>
    <col min="11" max="11" width="23" customWidth="1"/>
    <col min="12" max="12" width="13" customWidth="1"/>
    <col min="13" max="13" width="11" bestFit="1" customWidth="1"/>
    <col min="14" max="14" width="13.5703125" bestFit="1" customWidth="1"/>
    <col min="15" max="15" width="16.42578125" bestFit="1" customWidth="1"/>
    <col min="16" max="16" width="12.5703125" customWidth="1"/>
    <col min="19" max="19" width="26.5703125" bestFit="1" customWidth="1"/>
    <col min="20" max="20" width="25.140625" bestFit="1" customWidth="1"/>
    <col min="21" max="21" width="10.5703125" bestFit="1" customWidth="1"/>
    <col min="22" max="22" width="13.85546875" bestFit="1" customWidth="1"/>
    <col min="24" max="24" width="25.7109375" bestFit="1" customWidth="1"/>
    <col min="25" max="25" width="24.28515625" bestFit="1" customWidth="1"/>
    <col min="26" max="26" width="10.5703125" bestFit="1" customWidth="1"/>
    <col min="27" max="27" width="13" bestFit="1" customWidth="1"/>
    <col min="30" max="30" width="15" bestFit="1" customWidth="1"/>
    <col min="31" max="31" width="14.28515625" bestFit="1" customWidth="1"/>
    <col min="32" max="32" width="33" bestFit="1" customWidth="1"/>
    <col min="33" max="33" width="18.7109375" bestFit="1" customWidth="1"/>
    <col min="34" max="34" width="34" bestFit="1" customWidth="1"/>
    <col min="36" max="36" width="8.42578125" bestFit="1" customWidth="1"/>
  </cols>
  <sheetData>
    <row r="1" spans="2:40" ht="15.75" x14ac:dyDescent="0.25">
      <c r="B1" t="s">
        <v>146</v>
      </c>
      <c r="H1" s="29"/>
      <c r="I1" s="57" t="s">
        <v>106</v>
      </c>
      <c r="J1" s="58"/>
      <c r="K1" s="36"/>
      <c r="L1" s="36"/>
      <c r="M1" s="36"/>
      <c r="N1" s="36"/>
      <c r="O1" s="59"/>
      <c r="P1" s="36"/>
      <c r="Q1" s="36"/>
      <c r="R1" s="15"/>
      <c r="X1" s="176" t="s">
        <v>163</v>
      </c>
      <c r="Y1" s="176"/>
      <c r="Z1" s="176"/>
      <c r="AA1" s="176"/>
    </row>
    <row r="2" spans="2:40" ht="15.75" thickBot="1" x14ac:dyDescent="0.3">
      <c r="B2" s="180" t="s">
        <v>93</v>
      </c>
      <c r="C2" s="182" t="s">
        <v>90</v>
      </c>
      <c r="D2" s="183"/>
      <c r="E2" s="184"/>
      <c r="F2" s="180" t="s">
        <v>94</v>
      </c>
      <c r="G2" s="187" t="s">
        <v>95</v>
      </c>
      <c r="H2" s="25"/>
      <c r="I2" s="21" t="s">
        <v>93</v>
      </c>
      <c r="J2" s="72" t="s">
        <v>110</v>
      </c>
      <c r="K2" s="21" t="s">
        <v>111</v>
      </c>
      <c r="L2" s="21" t="s">
        <v>112</v>
      </c>
      <c r="M2" s="21" t="s">
        <v>94</v>
      </c>
      <c r="N2" s="21" t="s">
        <v>95</v>
      </c>
      <c r="O2" s="30"/>
      <c r="P2" s="15"/>
      <c r="Q2" s="15"/>
      <c r="R2" s="15"/>
    </row>
    <row r="3" spans="2:40" ht="16.5" thickBot="1" x14ac:dyDescent="0.3">
      <c r="B3" s="181"/>
      <c r="C3" s="55" t="s">
        <v>91</v>
      </c>
      <c r="D3" s="55" t="s">
        <v>92</v>
      </c>
      <c r="E3" s="55" t="s">
        <v>198</v>
      </c>
      <c r="F3" s="181"/>
      <c r="G3" s="187"/>
      <c r="H3" s="25"/>
      <c r="I3" s="22" t="s">
        <v>107</v>
      </c>
      <c r="J3" s="74">
        <f>F19</f>
        <v>154.49690402476779</v>
      </c>
      <c r="K3" s="11">
        <f>F20</f>
        <v>161.92724458204333</v>
      </c>
      <c r="L3" s="11">
        <f>F21</f>
        <v>169.74458204334366</v>
      </c>
      <c r="M3" s="11">
        <f>SUM(J3:L3)</f>
        <v>486.16873065015477</v>
      </c>
      <c r="N3" s="14">
        <f>SUM(J3:L3)/9</f>
        <v>54.018747850017199</v>
      </c>
      <c r="O3" s="28"/>
      <c r="P3" s="15"/>
      <c r="Q3" s="15"/>
      <c r="R3" s="15"/>
      <c r="X3" s="68" t="s">
        <v>164</v>
      </c>
      <c r="Y3" s="68" t="s">
        <v>166</v>
      </c>
      <c r="Z3" s="68" t="s">
        <v>90</v>
      </c>
      <c r="AA3" s="68" t="s">
        <v>187</v>
      </c>
      <c r="AD3" s="111" t="s">
        <v>30</v>
      </c>
      <c r="AE3" s="112" t="s">
        <v>143</v>
      </c>
      <c r="AF3" s="112" t="s">
        <v>147</v>
      </c>
      <c r="AG3" s="112" t="s">
        <v>148</v>
      </c>
      <c r="AH3" s="113" t="s">
        <v>149</v>
      </c>
      <c r="AI3" s="27"/>
      <c r="AJ3" s="27" t="s">
        <v>150</v>
      </c>
      <c r="AK3" s="27"/>
      <c r="AL3" s="27"/>
      <c r="AM3" s="27"/>
      <c r="AN3" s="27"/>
    </row>
    <row r="4" spans="2:40" ht="15.75" x14ac:dyDescent="0.25">
      <c r="B4" s="9" t="s">
        <v>96</v>
      </c>
      <c r="C4" s="9">
        <v>0.64600000000000002</v>
      </c>
      <c r="D4" s="10">
        <v>0.66</v>
      </c>
      <c r="E4" s="9">
        <v>0.68500000000000005</v>
      </c>
      <c r="F4" s="9">
        <f>SUM(C4:E4)</f>
        <v>1.9910000000000001</v>
      </c>
      <c r="G4" s="14">
        <f>AVERAGE(C4:E4)</f>
        <v>0.66366666666666674</v>
      </c>
      <c r="H4" s="28"/>
      <c r="I4" s="22" t="s">
        <v>108</v>
      </c>
      <c r="J4" s="74">
        <f>F22</f>
        <v>156.50928792569658</v>
      </c>
      <c r="K4" s="11">
        <f>F23</f>
        <v>163.39783281733747</v>
      </c>
      <c r="L4" s="11">
        <f>F24</f>
        <v>171.29256965944271</v>
      </c>
      <c r="M4" s="11">
        <f>SUM(J4:L4)</f>
        <v>491.19969040247679</v>
      </c>
      <c r="N4" s="14">
        <f>SUM(J4:L4)/9</f>
        <v>54.577743378052979</v>
      </c>
      <c r="O4" s="28"/>
      <c r="P4" s="15"/>
      <c r="Q4" s="15"/>
      <c r="R4" s="15"/>
      <c r="X4" s="68" t="s">
        <v>107</v>
      </c>
      <c r="Y4" s="68" t="s">
        <v>110</v>
      </c>
      <c r="Z4" s="68">
        <v>1</v>
      </c>
      <c r="AA4" s="122">
        <v>50.131578947368425</v>
      </c>
      <c r="AD4" s="102">
        <v>0</v>
      </c>
      <c r="AE4" s="29">
        <v>2E-3</v>
      </c>
      <c r="AF4" s="29">
        <f>AE4-AE$4</f>
        <v>0</v>
      </c>
      <c r="AG4" s="103">
        <f t="shared" ref="AG4:AG36" si="0">(AF4+0.0037)/0.2584</f>
        <v>1.4318885448916407E-2</v>
      </c>
      <c r="AH4" s="104">
        <f t="shared" ref="AH4:AH9" si="1">AG4*20</f>
        <v>0.28637770897832815</v>
      </c>
      <c r="AI4" s="27"/>
      <c r="AJ4" s="27"/>
      <c r="AK4" s="27"/>
      <c r="AL4" s="27"/>
      <c r="AM4" s="27"/>
      <c r="AN4" s="27"/>
    </row>
    <row r="5" spans="2:40" ht="15.75" x14ac:dyDescent="0.25">
      <c r="B5" s="9" t="s">
        <v>97</v>
      </c>
      <c r="C5" s="9">
        <v>0.69599999999999995</v>
      </c>
      <c r="D5" s="9">
        <v>0.70199999999999996</v>
      </c>
      <c r="E5" s="9">
        <v>0.68899999999999995</v>
      </c>
      <c r="F5" s="9">
        <f t="shared" ref="F5:F12" si="2">SUM(C5:E5)</f>
        <v>2.0869999999999997</v>
      </c>
      <c r="G5" s="33">
        <f t="shared" ref="G5:G12" si="3">AVERAGE(C5:E5)</f>
        <v>0.69566666666666654</v>
      </c>
      <c r="H5" s="28"/>
      <c r="I5" s="22" t="s">
        <v>109</v>
      </c>
      <c r="J5" s="74">
        <f>F25</f>
        <v>154.65170278637771</v>
      </c>
      <c r="K5" s="11">
        <f>F26</f>
        <v>160.99845201238389</v>
      </c>
      <c r="L5" s="11">
        <f>F27</f>
        <v>169.04798761609905</v>
      </c>
      <c r="M5" s="11">
        <f>SUM(J5:L5)</f>
        <v>484.69814241486063</v>
      </c>
      <c r="N5" s="14">
        <f>SUM(J5:L5)/9</f>
        <v>53.855349157206739</v>
      </c>
      <c r="O5" s="28"/>
      <c r="P5" s="15"/>
      <c r="Q5" s="15"/>
      <c r="R5" s="15"/>
      <c r="X5" s="68" t="s">
        <v>107</v>
      </c>
      <c r="Y5" s="68" t="s">
        <v>110</v>
      </c>
      <c r="Z5" s="68">
        <v>2</v>
      </c>
      <c r="AA5" s="122">
        <v>51.215170278637771</v>
      </c>
      <c r="AD5" s="102">
        <v>0.2</v>
      </c>
      <c r="AE5" s="29">
        <v>4.7E-2</v>
      </c>
      <c r="AF5" s="103">
        <f t="shared" ref="AF5:AF36" si="4">AE5-AE$4</f>
        <v>4.4999999999999998E-2</v>
      </c>
      <c r="AG5" s="103">
        <f t="shared" si="0"/>
        <v>0.1884674922600619</v>
      </c>
      <c r="AH5" s="105">
        <f t="shared" si="1"/>
        <v>3.7693498452012379</v>
      </c>
      <c r="AI5" s="27"/>
      <c r="AJ5" s="27"/>
      <c r="AK5" s="27"/>
      <c r="AL5" s="27"/>
      <c r="AM5" s="27"/>
      <c r="AN5" s="27"/>
    </row>
    <row r="6" spans="2:40" ht="15.75" x14ac:dyDescent="0.25">
      <c r="B6" s="9" t="s">
        <v>98</v>
      </c>
      <c r="C6" s="9">
        <v>0.71899999999999997</v>
      </c>
      <c r="D6" s="9">
        <v>0.72399999999999998</v>
      </c>
      <c r="E6" s="10">
        <v>0.745</v>
      </c>
      <c r="F6" s="9">
        <f t="shared" si="2"/>
        <v>2.1880000000000002</v>
      </c>
      <c r="G6" s="34">
        <f t="shared" si="3"/>
        <v>0.72933333333333339</v>
      </c>
      <c r="H6" s="28"/>
      <c r="I6" s="23" t="s">
        <v>113</v>
      </c>
      <c r="J6" s="74">
        <f>SUM(J3:J5)</f>
        <v>465.65789473684208</v>
      </c>
      <c r="K6" s="11">
        <f>SUM(K3:K5)</f>
        <v>486.3235294117647</v>
      </c>
      <c r="L6" s="11">
        <f>SUM(L3:L5)</f>
        <v>510.08513931888535</v>
      </c>
      <c r="M6" s="32">
        <f>SUM(M3:M5)</f>
        <v>1462.0665634674922</v>
      </c>
      <c r="N6" s="11"/>
      <c r="O6" s="31"/>
      <c r="P6" s="15"/>
      <c r="Q6" s="15"/>
      <c r="R6" s="15"/>
      <c r="X6" s="68" t="s">
        <v>107</v>
      </c>
      <c r="Y6" s="68" t="s">
        <v>110</v>
      </c>
      <c r="Z6" s="68">
        <v>3</v>
      </c>
      <c r="AA6" s="122">
        <v>53.150154798761605</v>
      </c>
      <c r="AD6" s="116">
        <v>0.4</v>
      </c>
      <c r="AE6" s="117">
        <v>9.9000000000000005E-2</v>
      </c>
      <c r="AF6" s="118">
        <f t="shared" si="4"/>
        <v>9.7000000000000003E-2</v>
      </c>
      <c r="AG6" s="118">
        <f t="shared" si="0"/>
        <v>0.38970588235294112</v>
      </c>
      <c r="AH6" s="119">
        <f t="shared" si="1"/>
        <v>7.7941176470588225</v>
      </c>
      <c r="AI6" s="27"/>
      <c r="AJ6" s="27"/>
      <c r="AK6" s="27"/>
      <c r="AL6" s="27"/>
      <c r="AM6" s="27"/>
      <c r="AN6" s="27"/>
    </row>
    <row r="7" spans="2:40" ht="15.75" x14ac:dyDescent="0.25">
      <c r="B7" s="9" t="s">
        <v>99</v>
      </c>
      <c r="C7" s="9">
        <v>0.67100000000000004</v>
      </c>
      <c r="D7" s="9">
        <v>0.66700000000000004</v>
      </c>
      <c r="E7" s="9">
        <v>0.67900000000000005</v>
      </c>
      <c r="F7" s="9">
        <f t="shared" si="2"/>
        <v>2.0170000000000003</v>
      </c>
      <c r="G7" s="14">
        <f t="shared" si="3"/>
        <v>0.67233333333333345</v>
      </c>
      <c r="H7" s="28"/>
      <c r="I7" s="23" t="s">
        <v>95</v>
      </c>
      <c r="J7" s="123">
        <f>SUM(J3:J5)/9</f>
        <v>51.739766081871345</v>
      </c>
      <c r="K7" s="123">
        <f>SUM(K3:K5)/9</f>
        <v>54.035947712418299</v>
      </c>
      <c r="L7" s="123">
        <f>SUM(L3:L5)/9</f>
        <v>56.676126590987259</v>
      </c>
      <c r="M7" s="11"/>
      <c r="N7" s="11"/>
      <c r="O7" s="26"/>
      <c r="P7" s="15"/>
      <c r="Q7" s="15"/>
      <c r="R7" s="15"/>
      <c r="X7" s="68" t="s">
        <v>107</v>
      </c>
      <c r="Y7" s="68" t="s">
        <v>111</v>
      </c>
      <c r="Z7" s="68">
        <v>1</v>
      </c>
      <c r="AA7" s="122">
        <v>54.001547987616092</v>
      </c>
      <c r="AD7" s="116">
        <v>0.6</v>
      </c>
      <c r="AE7" s="117">
        <v>0.153</v>
      </c>
      <c r="AF7" s="118">
        <f t="shared" si="4"/>
        <v>0.151</v>
      </c>
      <c r="AG7" s="118">
        <f t="shared" si="0"/>
        <v>0.59868421052631571</v>
      </c>
      <c r="AH7" s="119">
        <f t="shared" si="1"/>
        <v>11.973684210526315</v>
      </c>
      <c r="AI7" s="27"/>
      <c r="AJ7" s="27"/>
      <c r="AK7" s="27"/>
      <c r="AL7" s="100"/>
      <c r="AM7" s="27"/>
      <c r="AN7" s="27"/>
    </row>
    <row r="8" spans="2:40" ht="15.75" x14ac:dyDescent="0.25">
      <c r="B8" s="9" t="s">
        <v>100</v>
      </c>
      <c r="C8" s="9">
        <v>0.70799999999999996</v>
      </c>
      <c r="D8" s="9">
        <v>0.70299999999999996</v>
      </c>
      <c r="E8" s="9">
        <v>0.69499999999999995</v>
      </c>
      <c r="F8" s="9">
        <f t="shared" si="2"/>
        <v>2.1059999999999999</v>
      </c>
      <c r="G8" s="33">
        <f t="shared" si="3"/>
        <v>0.70199999999999996</v>
      </c>
      <c r="H8" s="28"/>
      <c r="I8" s="15"/>
      <c r="J8" s="39"/>
      <c r="K8" s="15"/>
      <c r="L8" s="15"/>
      <c r="M8" s="15"/>
      <c r="N8" s="15"/>
      <c r="O8" s="15"/>
      <c r="P8" s="15"/>
      <c r="Q8" s="15"/>
      <c r="R8" s="15"/>
      <c r="X8" s="68" t="s">
        <v>107</v>
      </c>
      <c r="Y8" s="68" t="s">
        <v>111</v>
      </c>
      <c r="Z8" s="68">
        <v>2</v>
      </c>
      <c r="AA8" s="122">
        <v>54.46594427244581</v>
      </c>
      <c r="AD8" s="116">
        <v>0.8</v>
      </c>
      <c r="AE8" s="117">
        <v>0.20699999999999999</v>
      </c>
      <c r="AF8" s="118">
        <f t="shared" si="4"/>
        <v>0.20499999999999999</v>
      </c>
      <c r="AG8" s="118">
        <f t="shared" si="0"/>
        <v>0.80766253869969029</v>
      </c>
      <c r="AH8" s="119">
        <f t="shared" si="1"/>
        <v>16.153250773993804</v>
      </c>
      <c r="AI8" s="27"/>
      <c r="AJ8" s="27"/>
      <c r="AK8" s="27"/>
      <c r="AL8" s="100"/>
      <c r="AM8" s="27"/>
      <c r="AN8" s="27"/>
    </row>
    <row r="9" spans="2:40" ht="15.75" x14ac:dyDescent="0.25">
      <c r="B9" s="9" t="s">
        <v>101</v>
      </c>
      <c r="C9" s="9">
        <v>0.73799999999999999</v>
      </c>
      <c r="D9" s="9">
        <v>0.74399999999999999</v>
      </c>
      <c r="E9" s="9">
        <v>0.72599999999999998</v>
      </c>
      <c r="F9" s="10">
        <f t="shared" si="2"/>
        <v>2.2080000000000002</v>
      </c>
      <c r="G9" s="34">
        <f t="shared" si="3"/>
        <v>0.7360000000000001</v>
      </c>
      <c r="H9" s="28"/>
      <c r="I9" s="15" t="s">
        <v>119</v>
      </c>
      <c r="J9" s="42">
        <f>(SUMSQ(M3:M5)/(C31*C33))-C35</f>
        <v>2.5830856304528425</v>
      </c>
      <c r="K9" s="15"/>
      <c r="L9" s="15"/>
      <c r="M9" s="15"/>
      <c r="N9" s="15"/>
      <c r="O9" s="15"/>
      <c r="P9" s="15"/>
      <c r="Q9" s="15"/>
      <c r="R9" s="15"/>
      <c r="X9" s="68" t="s">
        <v>107</v>
      </c>
      <c r="Y9" s="68" t="s">
        <v>111</v>
      </c>
      <c r="Z9" s="68">
        <v>3</v>
      </c>
      <c r="AA9" s="122">
        <v>53.459752321981419</v>
      </c>
      <c r="AD9" s="116">
        <v>1</v>
      </c>
      <c r="AE9" s="117">
        <v>0.25700000000000001</v>
      </c>
      <c r="AF9" s="118">
        <f t="shared" si="4"/>
        <v>0.255</v>
      </c>
      <c r="AG9" s="118">
        <f t="shared" si="0"/>
        <v>1.0011609907120742</v>
      </c>
      <c r="AH9" s="119">
        <f t="shared" si="1"/>
        <v>20.023219814241486</v>
      </c>
      <c r="AI9" s="27"/>
      <c r="AJ9" s="27"/>
      <c r="AK9" s="27"/>
      <c r="AL9" s="100"/>
      <c r="AM9" s="27"/>
      <c r="AN9" s="27"/>
    </row>
    <row r="10" spans="2:40" ht="15.75" x14ac:dyDescent="0.25">
      <c r="B10" s="9" t="s">
        <v>102</v>
      </c>
      <c r="C10" s="9">
        <v>0.66500000000000004</v>
      </c>
      <c r="D10" s="9">
        <v>0.67700000000000005</v>
      </c>
      <c r="E10" s="9">
        <v>0.65100000000000002</v>
      </c>
      <c r="F10" s="9">
        <f t="shared" si="2"/>
        <v>1.9930000000000001</v>
      </c>
      <c r="G10" s="14">
        <f t="shared" si="3"/>
        <v>0.66433333333333333</v>
      </c>
      <c r="H10" s="28"/>
      <c r="I10" s="15" t="s">
        <v>120</v>
      </c>
      <c r="J10" s="42">
        <f>(SUMSQ(J6:L6)/(C32*C33))-C35</f>
        <v>109.83194900176022</v>
      </c>
      <c r="K10" s="15"/>
      <c r="L10" s="15"/>
      <c r="M10" s="15"/>
      <c r="N10" s="15"/>
      <c r="O10" s="15"/>
      <c r="P10" s="15"/>
      <c r="Q10" s="15"/>
      <c r="R10" s="15"/>
      <c r="X10" s="68" t="s">
        <v>107</v>
      </c>
      <c r="Y10" s="68" t="s">
        <v>112</v>
      </c>
      <c r="Z10" s="68">
        <v>1</v>
      </c>
      <c r="AA10" s="122">
        <v>55.781733746130023</v>
      </c>
      <c r="AD10" s="116" t="s">
        <v>0</v>
      </c>
      <c r="AE10" s="118">
        <v>0.64600000000000002</v>
      </c>
      <c r="AF10" s="118">
        <f>AE10-AE$4</f>
        <v>0.64400000000000002</v>
      </c>
      <c r="AG10" s="118">
        <f>(AF10+0.0037)/0.2584</f>
        <v>2.5065789473684212</v>
      </c>
      <c r="AH10" s="119">
        <f>AG10*20</f>
        <v>50.131578947368425</v>
      </c>
      <c r="AI10" s="27"/>
      <c r="AJ10" s="27"/>
      <c r="AK10" s="27"/>
      <c r="AL10" s="27"/>
      <c r="AM10" s="27"/>
      <c r="AN10" s="27"/>
    </row>
    <row r="11" spans="2:40" ht="15.75" x14ac:dyDescent="0.25">
      <c r="B11" s="9" t="s">
        <v>103</v>
      </c>
      <c r="C11" s="9">
        <v>0.69199999999999995</v>
      </c>
      <c r="D11" s="9">
        <v>0.70399999999999996</v>
      </c>
      <c r="E11" s="9">
        <v>0.67900000000000005</v>
      </c>
      <c r="F11" s="9">
        <f t="shared" si="2"/>
        <v>2.0750000000000002</v>
      </c>
      <c r="G11" s="33">
        <f t="shared" si="3"/>
        <v>0.69166666666666676</v>
      </c>
      <c r="H11" s="28"/>
      <c r="I11" s="41" t="s">
        <v>134</v>
      </c>
      <c r="J11" s="42">
        <f>C38-J9-J10</f>
        <v>0.10871946049155667</v>
      </c>
      <c r="K11" s="15"/>
      <c r="L11" s="15"/>
      <c r="M11" s="15"/>
      <c r="N11" s="15"/>
      <c r="O11" s="15"/>
      <c r="P11" s="15"/>
      <c r="Q11" s="15"/>
      <c r="R11" s="15"/>
      <c r="X11" s="68" t="s">
        <v>107</v>
      </c>
      <c r="Y11" s="68" t="s">
        <v>112</v>
      </c>
      <c r="Z11" s="68">
        <v>2</v>
      </c>
      <c r="AA11" s="122">
        <v>56.168730650154792</v>
      </c>
      <c r="AD11" s="116" t="s">
        <v>1</v>
      </c>
      <c r="AE11" s="118">
        <v>0.66</v>
      </c>
      <c r="AF11" s="118">
        <f>AE11-AE$4</f>
        <v>0.65800000000000003</v>
      </c>
      <c r="AG11" s="118">
        <f t="shared" si="0"/>
        <v>2.5607585139318885</v>
      </c>
      <c r="AH11" s="119">
        <f t="shared" ref="AH11:AH36" si="5">AG11*20</f>
        <v>51.215170278637771</v>
      </c>
      <c r="AI11" s="27"/>
      <c r="AJ11" s="27"/>
      <c r="AK11" s="27"/>
      <c r="AL11" s="27"/>
      <c r="AM11" s="27"/>
      <c r="AN11" s="27"/>
    </row>
    <row r="12" spans="2:40" ht="15.75" x14ac:dyDescent="0.25">
      <c r="B12" s="9" t="s">
        <v>104</v>
      </c>
      <c r="C12" s="9">
        <v>0.72699999999999998</v>
      </c>
      <c r="D12" s="9">
        <v>0.73299999999999998</v>
      </c>
      <c r="E12" s="9">
        <v>0.71899999999999997</v>
      </c>
      <c r="F12" s="9">
        <f t="shared" si="2"/>
        <v>2.1789999999999998</v>
      </c>
      <c r="G12" s="34">
        <f t="shared" si="3"/>
        <v>0.72633333333333328</v>
      </c>
      <c r="H12" s="28"/>
      <c r="I12" s="15"/>
      <c r="J12" s="15"/>
      <c r="K12" s="15"/>
      <c r="L12" s="15"/>
      <c r="M12" s="15"/>
      <c r="N12" s="15"/>
      <c r="O12" s="15"/>
      <c r="P12" s="15"/>
      <c r="Q12" s="15"/>
      <c r="R12" s="15"/>
      <c r="X12" s="68" t="s">
        <v>107</v>
      </c>
      <c r="Y12" s="68" t="s">
        <v>112</v>
      </c>
      <c r="Z12" s="68">
        <v>3</v>
      </c>
      <c r="AA12" s="122">
        <v>57.794117647058826</v>
      </c>
      <c r="AD12" s="116" t="s">
        <v>2</v>
      </c>
      <c r="AE12" s="118">
        <v>0.68500000000000005</v>
      </c>
      <c r="AF12" s="118">
        <f t="shared" si="4"/>
        <v>0.68300000000000005</v>
      </c>
      <c r="AG12" s="118">
        <f t="shared" si="0"/>
        <v>2.6575077399380804</v>
      </c>
      <c r="AH12" s="119">
        <f t="shared" si="5"/>
        <v>53.150154798761605</v>
      </c>
      <c r="AI12" s="27"/>
      <c r="AJ12" s="27"/>
      <c r="AK12" s="27"/>
      <c r="AL12" s="27"/>
      <c r="AM12" s="27"/>
      <c r="AN12" s="27"/>
    </row>
    <row r="13" spans="2:40" ht="15.75" x14ac:dyDescent="0.25">
      <c r="B13" s="23" t="s">
        <v>94</v>
      </c>
      <c r="C13" s="9">
        <f>SUM(C4:C12)</f>
        <v>6.2620000000000013</v>
      </c>
      <c r="D13" s="9">
        <f>SUM(D4:D12)</f>
        <v>6.3140000000000001</v>
      </c>
      <c r="E13" s="9">
        <f>SUM(E4:E12)</f>
        <v>6.2679999999999998</v>
      </c>
      <c r="F13" s="52">
        <f>SUM(F4:F12)</f>
        <v>18.844000000000001</v>
      </c>
      <c r="G13" s="9"/>
      <c r="H13" s="29"/>
      <c r="I13" s="38" t="s">
        <v>121</v>
      </c>
      <c r="J13" s="15"/>
      <c r="K13" s="15"/>
      <c r="L13" s="15"/>
      <c r="M13" s="15"/>
      <c r="N13" s="15"/>
      <c r="O13" s="15"/>
      <c r="P13" s="15"/>
      <c r="Q13" s="15"/>
      <c r="R13" s="15"/>
      <c r="X13" s="68" t="s">
        <v>108</v>
      </c>
      <c r="Y13" s="68" t="s">
        <v>110</v>
      </c>
      <c r="Z13" s="68">
        <v>1</v>
      </c>
      <c r="AA13" s="122">
        <v>52.066563467492266</v>
      </c>
      <c r="AD13" s="98" t="s">
        <v>3</v>
      </c>
      <c r="AE13" s="120">
        <v>0.69599999999999995</v>
      </c>
      <c r="AF13" s="118">
        <f t="shared" si="4"/>
        <v>0.69399999999999995</v>
      </c>
      <c r="AG13" s="120">
        <f t="shared" si="0"/>
        <v>2.7000773993808047</v>
      </c>
      <c r="AH13" s="121">
        <f t="shared" si="5"/>
        <v>54.001547987616092</v>
      </c>
    </row>
    <row r="14" spans="2:40" ht="15.75" x14ac:dyDescent="0.25">
      <c r="B14" s="23" t="s">
        <v>95</v>
      </c>
      <c r="C14" s="10">
        <f>AVERAGE(C4:C12)</f>
        <v>0.69577777777777794</v>
      </c>
      <c r="D14" s="10">
        <f>AVERAGE(D4:D12)</f>
        <v>0.7015555555555556</v>
      </c>
      <c r="E14" s="10">
        <f>AVERAGE(E4:E12)</f>
        <v>0.69644444444444442</v>
      </c>
      <c r="F14" s="9"/>
      <c r="G14" s="9"/>
      <c r="H14" s="29"/>
      <c r="I14" s="20" t="s">
        <v>122</v>
      </c>
      <c r="J14" s="53" t="s">
        <v>123</v>
      </c>
      <c r="K14" s="55" t="s">
        <v>124</v>
      </c>
      <c r="L14" s="55" t="s">
        <v>125</v>
      </c>
      <c r="M14" s="55" t="s">
        <v>126</v>
      </c>
      <c r="N14" s="55" t="s">
        <v>127</v>
      </c>
      <c r="O14" s="54" t="s">
        <v>135</v>
      </c>
      <c r="P14" s="55" t="s">
        <v>128</v>
      </c>
      <c r="Q14" s="15"/>
      <c r="R14" s="15"/>
      <c r="X14" s="68" t="s">
        <v>108</v>
      </c>
      <c r="Y14" s="68" t="s">
        <v>110</v>
      </c>
      <c r="Z14" s="68">
        <v>2</v>
      </c>
      <c r="AA14" s="122">
        <v>51.756965944272444</v>
      </c>
      <c r="AD14" s="98" t="s">
        <v>4</v>
      </c>
      <c r="AE14" s="120">
        <v>0.70199999999999996</v>
      </c>
      <c r="AF14" s="118">
        <f t="shared" si="4"/>
        <v>0.7</v>
      </c>
      <c r="AG14" s="120">
        <f t="shared" si="0"/>
        <v>2.7232972136222906</v>
      </c>
      <c r="AH14" s="121">
        <f t="shared" si="5"/>
        <v>54.46594427244581</v>
      </c>
    </row>
    <row r="15" spans="2:40" ht="15.75" x14ac:dyDescent="0.25">
      <c r="H15" s="29"/>
      <c r="I15" s="9" t="s">
        <v>129</v>
      </c>
      <c r="J15" s="70">
        <f>C33-1</f>
        <v>2</v>
      </c>
      <c r="K15" s="17">
        <f>C37</f>
        <v>1.0774320410127984</v>
      </c>
      <c r="L15" s="17">
        <f t="shared" ref="L15:L20" si="6">K15/J15</f>
        <v>0.53871602050639922</v>
      </c>
      <c r="M15" s="17">
        <f>L15/L$20</f>
        <v>0.67083405283606845</v>
      </c>
      <c r="N15" s="17">
        <f>FINV(0.05,J15,J$20)</f>
        <v>3.6337234675916301</v>
      </c>
      <c r="O15" s="17">
        <f>FINV(0.01,J15,J$20)</f>
        <v>6.2262352803113821</v>
      </c>
      <c r="P15" s="9" t="s">
        <v>142</v>
      </c>
      <c r="Q15" s="15"/>
      <c r="R15" s="67"/>
      <c r="X15" s="68" t="s">
        <v>108</v>
      </c>
      <c r="Y15" s="68" t="s">
        <v>110</v>
      </c>
      <c r="Z15" s="68">
        <v>3</v>
      </c>
      <c r="AA15" s="122">
        <v>52.685758513931887</v>
      </c>
      <c r="AD15" s="37" t="s">
        <v>5</v>
      </c>
      <c r="AE15" s="106">
        <v>0.68899999999999995</v>
      </c>
      <c r="AF15" s="103">
        <f t="shared" si="4"/>
        <v>0.68699999999999994</v>
      </c>
      <c r="AG15" s="106">
        <f t="shared" si="0"/>
        <v>2.6729876160990709</v>
      </c>
      <c r="AH15" s="107">
        <f t="shared" si="5"/>
        <v>53.459752321981419</v>
      </c>
    </row>
    <row r="16" spans="2:40" ht="15" customHeight="1" x14ac:dyDescent="0.25">
      <c r="B16" t="s">
        <v>186</v>
      </c>
      <c r="H16" s="29"/>
      <c r="I16" s="9" t="s">
        <v>93</v>
      </c>
      <c r="J16" s="70">
        <f>(C31*C32)-1</f>
        <v>8</v>
      </c>
      <c r="K16" s="17">
        <f>C38</f>
        <v>112.52375409270462</v>
      </c>
      <c r="L16" s="17">
        <f t="shared" si="6"/>
        <v>14.065469261588078</v>
      </c>
      <c r="M16" s="17">
        <f>L16/L$20</f>
        <v>17.514971507479405</v>
      </c>
      <c r="N16" s="17">
        <f>FINV(0.05,J16,J$20)</f>
        <v>2.5910961798744014</v>
      </c>
      <c r="O16" s="17">
        <f>FINV(0.01,J16,J$20)</f>
        <v>3.8895721399261927</v>
      </c>
      <c r="P16" s="9" t="s">
        <v>137</v>
      </c>
      <c r="Q16" s="15"/>
      <c r="R16" s="67"/>
      <c r="X16" s="68" t="s">
        <v>108</v>
      </c>
      <c r="Y16" s="68" t="s">
        <v>111</v>
      </c>
      <c r="Z16" s="68">
        <v>1</v>
      </c>
      <c r="AA16" s="122">
        <v>54.930340557275542</v>
      </c>
      <c r="AD16" s="37" t="s">
        <v>6</v>
      </c>
      <c r="AE16" s="106">
        <v>0.71899999999999997</v>
      </c>
      <c r="AF16" s="103">
        <f t="shared" si="4"/>
        <v>0.71699999999999997</v>
      </c>
      <c r="AG16" s="106">
        <f t="shared" si="0"/>
        <v>2.7890866873065012</v>
      </c>
      <c r="AH16" s="107">
        <f t="shared" si="5"/>
        <v>55.781733746130023</v>
      </c>
    </row>
    <row r="17" spans="2:34" ht="15.75" x14ac:dyDescent="0.25">
      <c r="B17" s="180" t="s">
        <v>93</v>
      </c>
      <c r="C17" s="182" t="s">
        <v>90</v>
      </c>
      <c r="D17" s="183"/>
      <c r="E17" s="184"/>
      <c r="F17" s="180" t="s">
        <v>94</v>
      </c>
      <c r="G17" s="194" t="s">
        <v>95</v>
      </c>
      <c r="H17" s="29"/>
      <c r="I17" s="9" t="s">
        <v>130</v>
      </c>
      <c r="J17" s="70">
        <f>C31-1</f>
        <v>2</v>
      </c>
      <c r="K17" s="17">
        <f>J9</f>
        <v>2.5830856304528425</v>
      </c>
      <c r="L17" s="17">
        <f t="shared" si="6"/>
        <v>1.2915428152264212</v>
      </c>
      <c r="M17" s="17">
        <f>L17/L$20</f>
        <v>1.6082887238720123</v>
      </c>
      <c r="N17" s="17">
        <f>FINV(0.05,J17,J$20)</f>
        <v>3.6337234675916301</v>
      </c>
      <c r="O17" s="17">
        <f>FINV(0.01,J17,J$20)</f>
        <v>6.2262352803113821</v>
      </c>
      <c r="P17" s="9" t="s">
        <v>142</v>
      </c>
      <c r="Q17" s="15"/>
      <c r="R17" s="67"/>
      <c r="X17" s="68" t="s">
        <v>108</v>
      </c>
      <c r="Y17" s="68" t="s">
        <v>111</v>
      </c>
      <c r="Z17" s="68">
        <v>2</v>
      </c>
      <c r="AA17" s="122">
        <v>54.543343653250773</v>
      </c>
      <c r="AD17" s="37" t="s">
        <v>7</v>
      </c>
      <c r="AE17" s="106">
        <v>0.72399999999999998</v>
      </c>
      <c r="AF17" s="103">
        <f t="shared" si="4"/>
        <v>0.72199999999999998</v>
      </c>
      <c r="AG17" s="106">
        <f t="shared" si="0"/>
        <v>2.8084365325077396</v>
      </c>
      <c r="AH17" s="107">
        <f t="shared" si="5"/>
        <v>56.168730650154792</v>
      </c>
    </row>
    <row r="18" spans="2:34" ht="15.75" x14ac:dyDescent="0.25">
      <c r="B18" s="181"/>
      <c r="C18" s="55" t="s">
        <v>91</v>
      </c>
      <c r="D18" s="55" t="s">
        <v>92</v>
      </c>
      <c r="E18" s="55" t="s">
        <v>198</v>
      </c>
      <c r="F18" s="181"/>
      <c r="G18" s="195"/>
      <c r="H18" s="29"/>
      <c r="I18" s="9" t="s">
        <v>131</v>
      </c>
      <c r="J18" s="70">
        <f>C32-1</f>
        <v>2</v>
      </c>
      <c r="K18" s="17">
        <f>J10</f>
        <v>109.83194900176022</v>
      </c>
      <c r="L18" s="17">
        <f t="shared" si="6"/>
        <v>54.915974500880111</v>
      </c>
      <c r="M18" s="17">
        <f>L18/L$20</f>
        <v>68.383906061004168</v>
      </c>
      <c r="N18" s="17">
        <f>FINV(0.05,J18,J$20)</f>
        <v>3.6337234675916301</v>
      </c>
      <c r="O18" s="17">
        <f>FINV(0.01,J18,J$20)</f>
        <v>6.2262352803113821</v>
      </c>
      <c r="P18" s="9" t="s">
        <v>137</v>
      </c>
      <c r="Q18" s="15"/>
      <c r="R18" s="67"/>
      <c r="X18" s="68" t="s">
        <v>108</v>
      </c>
      <c r="Y18" s="68" t="s">
        <v>111</v>
      </c>
      <c r="Z18" s="68">
        <v>3</v>
      </c>
      <c r="AA18" s="122">
        <v>53.924148606811144</v>
      </c>
      <c r="AD18" s="37" t="s">
        <v>8</v>
      </c>
      <c r="AE18" s="106">
        <v>0.745</v>
      </c>
      <c r="AF18" s="103">
        <f t="shared" si="4"/>
        <v>0.74299999999999999</v>
      </c>
      <c r="AG18" s="106">
        <f t="shared" si="0"/>
        <v>2.8897058823529411</v>
      </c>
      <c r="AH18" s="107">
        <f t="shared" si="5"/>
        <v>57.794117647058826</v>
      </c>
    </row>
    <row r="19" spans="2:34" ht="15.75" x14ac:dyDescent="0.25">
      <c r="B19" s="9" t="s">
        <v>96</v>
      </c>
      <c r="C19" s="134">
        <v>50.131578947368425</v>
      </c>
      <c r="D19" s="134">
        <v>51.215170278637771</v>
      </c>
      <c r="E19" s="134">
        <v>53.150154798761605</v>
      </c>
      <c r="F19" s="16">
        <f t="shared" ref="F19:F27" si="7">SUM(C19:E19)</f>
        <v>154.49690402476779</v>
      </c>
      <c r="G19" s="14">
        <f t="shared" ref="G19:G27" si="8">AVERAGE(C19:E19)</f>
        <v>51.498968008255929</v>
      </c>
      <c r="H19" s="29"/>
      <c r="I19" s="9" t="s">
        <v>132</v>
      </c>
      <c r="J19" s="70">
        <f>J17*J18</f>
        <v>4</v>
      </c>
      <c r="K19" s="17">
        <f>J11</f>
        <v>0.10871946049155667</v>
      </c>
      <c r="L19" s="17">
        <f t="shared" si="6"/>
        <v>2.7179865122889169E-2</v>
      </c>
      <c r="M19" s="17">
        <f>L19/L$20</f>
        <v>3.3845622520722603E-2</v>
      </c>
      <c r="N19" s="17">
        <f>FINV(0.05,J19,J$20)</f>
        <v>3.0069172799243447</v>
      </c>
      <c r="O19" s="17">
        <f>FINV(0.01,J19,J$20)</f>
        <v>4.772577999723211</v>
      </c>
      <c r="P19" s="9" t="s">
        <v>142</v>
      </c>
      <c r="Q19" s="15"/>
      <c r="R19" s="15"/>
      <c r="X19" s="68" t="s">
        <v>108</v>
      </c>
      <c r="Y19" s="68" t="s">
        <v>112</v>
      </c>
      <c r="Z19" s="68">
        <v>1</v>
      </c>
      <c r="AA19" s="122">
        <v>57.252321981424146</v>
      </c>
      <c r="AD19" s="37" t="s">
        <v>9</v>
      </c>
      <c r="AE19" s="106">
        <v>0.67100000000000004</v>
      </c>
      <c r="AF19" s="103">
        <f t="shared" si="4"/>
        <v>0.66900000000000004</v>
      </c>
      <c r="AG19" s="106">
        <f t="shared" si="0"/>
        <v>2.6033281733746132</v>
      </c>
      <c r="AH19" s="107">
        <f t="shared" si="5"/>
        <v>52.066563467492266</v>
      </c>
    </row>
    <row r="20" spans="2:34" ht="15.75" x14ac:dyDescent="0.25">
      <c r="B20" s="9" t="s">
        <v>97</v>
      </c>
      <c r="C20" s="134">
        <v>54.001547987616092</v>
      </c>
      <c r="D20" s="134">
        <v>54.46594427244581</v>
      </c>
      <c r="E20" s="134">
        <v>53.459752321981419</v>
      </c>
      <c r="F20" s="16">
        <f t="shared" si="7"/>
        <v>161.92724458204333</v>
      </c>
      <c r="G20" s="125">
        <f t="shared" si="8"/>
        <v>53.975748194014443</v>
      </c>
      <c r="H20" s="29"/>
      <c r="I20" s="9" t="s">
        <v>133</v>
      </c>
      <c r="J20" s="70">
        <f>(C33-1)*((C31*C32)-1)</f>
        <v>16</v>
      </c>
      <c r="K20" s="17">
        <f>C39</f>
        <v>12.848865217354614</v>
      </c>
      <c r="L20" s="101">
        <f t="shared" si="6"/>
        <v>0.80305407608466339</v>
      </c>
      <c r="M20" s="24"/>
      <c r="N20" s="24"/>
      <c r="O20" s="24"/>
      <c r="P20" s="24"/>
      <c r="Q20" s="15"/>
      <c r="R20" s="15"/>
      <c r="X20" s="68" t="s">
        <v>108</v>
      </c>
      <c r="Y20" s="68" t="s">
        <v>112</v>
      </c>
      <c r="Z20" s="68">
        <v>2</v>
      </c>
      <c r="AA20" s="122">
        <v>57.716718266253871</v>
      </c>
      <c r="AD20" s="37" t="s">
        <v>10</v>
      </c>
      <c r="AE20" s="106">
        <v>0.66700000000000004</v>
      </c>
      <c r="AF20" s="103">
        <f t="shared" si="4"/>
        <v>0.66500000000000004</v>
      </c>
      <c r="AG20" s="106">
        <f t="shared" si="0"/>
        <v>2.5878482972136223</v>
      </c>
      <c r="AH20" s="107">
        <f t="shared" si="5"/>
        <v>51.756965944272444</v>
      </c>
    </row>
    <row r="21" spans="2:34" ht="15.75" x14ac:dyDescent="0.25">
      <c r="B21" s="9" t="s">
        <v>98</v>
      </c>
      <c r="C21" s="134">
        <v>55.781733746130023</v>
      </c>
      <c r="D21" s="134">
        <v>56.168730650154792</v>
      </c>
      <c r="E21" s="134">
        <v>57.794117647058826</v>
      </c>
      <c r="F21" s="16">
        <f t="shared" si="7"/>
        <v>169.74458204334366</v>
      </c>
      <c r="G21" s="34">
        <f t="shared" si="8"/>
        <v>56.581527347781218</v>
      </c>
      <c r="H21" s="29"/>
      <c r="I21" s="9" t="s">
        <v>94</v>
      </c>
      <c r="J21" s="70">
        <f>J15+J16+J20</f>
        <v>26</v>
      </c>
      <c r="K21" s="11">
        <f>C36</f>
        <v>126.45005135107203</v>
      </c>
      <c r="L21" s="62"/>
      <c r="M21" s="24"/>
      <c r="N21" s="24"/>
      <c r="O21" s="24"/>
      <c r="P21" s="24"/>
      <c r="Q21" s="15"/>
      <c r="R21" s="15"/>
      <c r="X21" s="68" t="s">
        <v>108</v>
      </c>
      <c r="Y21" s="68" t="s">
        <v>112</v>
      </c>
      <c r="Z21" s="68">
        <v>3</v>
      </c>
      <c r="AA21" s="122">
        <v>56.323529411764703</v>
      </c>
      <c r="AD21" s="37" t="s">
        <v>11</v>
      </c>
      <c r="AE21" s="106">
        <v>0.67900000000000005</v>
      </c>
      <c r="AF21" s="103">
        <f t="shared" si="4"/>
        <v>0.67700000000000005</v>
      </c>
      <c r="AG21" s="106">
        <f t="shared" si="0"/>
        <v>2.6342879256965945</v>
      </c>
      <c r="AH21" s="107">
        <f t="shared" si="5"/>
        <v>52.685758513931887</v>
      </c>
    </row>
    <row r="22" spans="2:34" ht="15.75" x14ac:dyDescent="0.25">
      <c r="B22" s="9" t="s">
        <v>99</v>
      </c>
      <c r="C22" s="134">
        <v>52.066563467492266</v>
      </c>
      <c r="D22" s="134">
        <v>51.756965944272444</v>
      </c>
      <c r="E22" s="134">
        <v>52.685758513931887</v>
      </c>
      <c r="F22" s="16">
        <f t="shared" si="7"/>
        <v>156.50928792569658</v>
      </c>
      <c r="G22" s="14">
        <f t="shared" si="8"/>
        <v>52.169762641898863</v>
      </c>
      <c r="H22" s="29"/>
      <c r="I22" s="15"/>
      <c r="J22" s="15"/>
      <c r="K22" s="15"/>
      <c r="L22" s="15"/>
      <c r="M22" s="15"/>
      <c r="N22" s="15"/>
      <c r="O22" s="15"/>
      <c r="P22" s="15"/>
      <c r="Q22" s="15"/>
      <c r="R22" s="15"/>
      <c r="X22" s="68" t="s">
        <v>109</v>
      </c>
      <c r="Y22" s="68" t="s">
        <v>110</v>
      </c>
      <c r="Z22" s="68">
        <v>1</v>
      </c>
      <c r="AA22" s="122">
        <v>51.602167182662541</v>
      </c>
      <c r="AD22" s="37" t="s">
        <v>12</v>
      </c>
      <c r="AE22" s="106">
        <v>0.70799999999999996</v>
      </c>
      <c r="AF22" s="103">
        <f t="shared" si="4"/>
        <v>0.70599999999999996</v>
      </c>
      <c r="AG22" s="106">
        <f t="shared" si="0"/>
        <v>2.7465170278637769</v>
      </c>
      <c r="AH22" s="107">
        <f t="shared" si="5"/>
        <v>54.930340557275542</v>
      </c>
    </row>
    <row r="23" spans="2:34" ht="15.75" x14ac:dyDescent="0.25">
      <c r="B23" s="9" t="s">
        <v>100</v>
      </c>
      <c r="C23" s="134">
        <v>54.930340557275542</v>
      </c>
      <c r="D23" s="134">
        <v>54.543343653250773</v>
      </c>
      <c r="E23" s="134">
        <v>53.924148606811144</v>
      </c>
      <c r="F23" s="16">
        <f t="shared" si="7"/>
        <v>163.39783281733747</v>
      </c>
      <c r="G23" s="125">
        <f t="shared" si="8"/>
        <v>54.465944272445824</v>
      </c>
      <c r="H23" s="29"/>
      <c r="I23" s="60" t="s">
        <v>151</v>
      </c>
      <c r="J23" s="61"/>
      <c r="K23" s="61"/>
      <c r="L23" s="61"/>
      <c r="M23" s="61"/>
      <c r="N23" s="15"/>
      <c r="O23" s="15"/>
      <c r="P23" s="15"/>
      <c r="Q23" s="15"/>
      <c r="R23" s="15"/>
      <c r="X23" s="68" t="s">
        <v>109</v>
      </c>
      <c r="Y23" s="68" t="s">
        <v>110</v>
      </c>
      <c r="Z23" s="68">
        <v>2</v>
      </c>
      <c r="AA23" s="122">
        <v>52.530959752321984</v>
      </c>
      <c r="AD23" s="37" t="s">
        <v>13</v>
      </c>
      <c r="AE23" s="106">
        <v>0.70299999999999996</v>
      </c>
      <c r="AF23" s="103">
        <f t="shared" si="4"/>
        <v>0.70099999999999996</v>
      </c>
      <c r="AG23" s="106">
        <f t="shared" si="0"/>
        <v>2.7271671826625385</v>
      </c>
      <c r="AH23" s="107">
        <f t="shared" si="5"/>
        <v>54.543343653250773</v>
      </c>
    </row>
    <row r="24" spans="2:34" ht="15.75" x14ac:dyDescent="0.25">
      <c r="B24" s="9" t="s">
        <v>101</v>
      </c>
      <c r="C24" s="134">
        <v>57.252321981424146</v>
      </c>
      <c r="D24" s="134">
        <v>57.716718266253871</v>
      </c>
      <c r="E24" s="134">
        <v>56.323529411764703</v>
      </c>
      <c r="F24" s="16">
        <f t="shared" si="7"/>
        <v>171.29256965944271</v>
      </c>
      <c r="G24" s="34">
        <f t="shared" si="8"/>
        <v>57.097523219814235</v>
      </c>
      <c r="H24" s="29"/>
      <c r="I24" s="64" t="s">
        <v>183</v>
      </c>
      <c r="J24" s="192" t="s">
        <v>160</v>
      </c>
      <c r="K24" s="192"/>
      <c r="L24" s="192"/>
      <c r="M24" s="192"/>
      <c r="N24" s="15"/>
      <c r="O24" s="15"/>
      <c r="P24" s="15"/>
      <c r="Q24" s="15"/>
      <c r="R24" s="15"/>
      <c r="X24" s="68" t="s">
        <v>109</v>
      </c>
      <c r="Y24" s="68" t="s">
        <v>110</v>
      </c>
      <c r="Z24" s="68">
        <v>3</v>
      </c>
      <c r="AA24" s="122">
        <v>50.518575851393194</v>
      </c>
      <c r="AD24" s="37" t="s">
        <v>14</v>
      </c>
      <c r="AE24" s="106">
        <v>0.69499999999999995</v>
      </c>
      <c r="AF24" s="103">
        <f t="shared" si="4"/>
        <v>0.69299999999999995</v>
      </c>
      <c r="AG24" s="106">
        <f t="shared" si="0"/>
        <v>2.6962074303405572</v>
      </c>
      <c r="AH24" s="107">
        <f t="shared" si="5"/>
        <v>53.924148606811144</v>
      </c>
    </row>
    <row r="25" spans="2:34" ht="14.25" customHeight="1" x14ac:dyDescent="0.25">
      <c r="B25" s="9" t="s">
        <v>102</v>
      </c>
      <c r="C25" s="134">
        <v>51.602167182662541</v>
      </c>
      <c r="D25" s="134">
        <v>52.530959752321984</v>
      </c>
      <c r="E25" s="134">
        <v>50.518575851393194</v>
      </c>
      <c r="F25" s="16">
        <f t="shared" si="7"/>
        <v>154.65170278637771</v>
      </c>
      <c r="G25" s="14">
        <f t="shared" si="8"/>
        <v>51.550567595459235</v>
      </c>
      <c r="H25" s="29"/>
      <c r="I25" s="61"/>
      <c r="J25" s="192" t="s">
        <v>184</v>
      </c>
      <c r="K25" s="192"/>
      <c r="L25" s="192"/>
      <c r="M25" s="192"/>
      <c r="N25" s="15"/>
      <c r="O25" s="15"/>
      <c r="P25" s="15"/>
      <c r="Q25" s="15"/>
      <c r="R25" s="15"/>
      <c r="X25" s="68" t="s">
        <v>109</v>
      </c>
      <c r="Y25" s="68" t="s">
        <v>111</v>
      </c>
      <c r="Z25" s="68">
        <v>1</v>
      </c>
      <c r="AA25" s="122">
        <v>53.691950464396278</v>
      </c>
      <c r="AD25" s="37" t="s">
        <v>15</v>
      </c>
      <c r="AE25" s="106">
        <v>0.73799999999999999</v>
      </c>
      <c r="AF25" s="103">
        <f t="shared" si="4"/>
        <v>0.73599999999999999</v>
      </c>
      <c r="AG25" s="106">
        <f t="shared" si="0"/>
        <v>2.8626160990712073</v>
      </c>
      <c r="AH25" s="107">
        <f t="shared" si="5"/>
        <v>57.252321981424146</v>
      </c>
    </row>
    <row r="26" spans="2:34" ht="15.75" x14ac:dyDescent="0.25">
      <c r="B26" s="9" t="s">
        <v>103</v>
      </c>
      <c r="C26" s="134">
        <v>53.691950464396278</v>
      </c>
      <c r="D26" s="134">
        <v>54.620743034055721</v>
      </c>
      <c r="E26" s="134">
        <v>52.685758513931887</v>
      </c>
      <c r="F26" s="16">
        <f t="shared" si="7"/>
        <v>160.99845201238389</v>
      </c>
      <c r="G26" s="125">
        <f t="shared" si="8"/>
        <v>53.666150670794629</v>
      </c>
      <c r="H26" s="15"/>
      <c r="I26" s="61"/>
      <c r="J26" s="64">
        <v>3.65</v>
      </c>
      <c r="K26" s="64" t="s">
        <v>152</v>
      </c>
      <c r="L26" s="65">
        <f>SQRT(L20/9)</f>
        <v>0.29871094836994794</v>
      </c>
      <c r="M26" s="61"/>
      <c r="N26" s="15"/>
      <c r="O26" s="15"/>
      <c r="P26" s="15"/>
      <c r="Q26" s="15"/>
      <c r="R26" s="15"/>
      <c r="X26" s="68" t="s">
        <v>109</v>
      </c>
      <c r="Y26" s="68" t="s">
        <v>111</v>
      </c>
      <c r="Z26" s="68">
        <v>2</v>
      </c>
      <c r="AA26" s="122">
        <v>54.620743034055721</v>
      </c>
      <c r="AD26" s="37" t="s">
        <v>16</v>
      </c>
      <c r="AE26" s="106">
        <v>0.74399999999999999</v>
      </c>
      <c r="AF26" s="103">
        <f t="shared" si="4"/>
        <v>0.74199999999999999</v>
      </c>
      <c r="AG26" s="106">
        <f t="shared" si="0"/>
        <v>2.8858359133126936</v>
      </c>
      <c r="AH26" s="107">
        <f t="shared" si="5"/>
        <v>57.716718266253871</v>
      </c>
    </row>
    <row r="27" spans="2:34" ht="15.75" x14ac:dyDescent="0.25">
      <c r="B27" s="9" t="s">
        <v>104</v>
      </c>
      <c r="C27" s="134">
        <v>56.400928792569658</v>
      </c>
      <c r="D27" s="134">
        <v>56.865325077399376</v>
      </c>
      <c r="E27" s="134">
        <v>55.781733746130023</v>
      </c>
      <c r="F27" s="16">
        <f t="shared" si="7"/>
        <v>169.04798761609905</v>
      </c>
      <c r="G27" s="34">
        <f t="shared" si="8"/>
        <v>56.349329205366352</v>
      </c>
      <c r="H27" s="15"/>
      <c r="I27" s="61"/>
      <c r="J27" s="65">
        <f>J26*L26</f>
        <v>1.0902949615503099</v>
      </c>
      <c r="L27" s="61"/>
      <c r="M27" s="61"/>
      <c r="N27" s="15"/>
      <c r="O27" s="15"/>
      <c r="P27" s="15"/>
      <c r="Q27" s="15"/>
      <c r="R27" s="15"/>
      <c r="X27" s="68" t="s">
        <v>109</v>
      </c>
      <c r="Y27" s="68" t="s">
        <v>111</v>
      </c>
      <c r="Z27" s="68">
        <v>3</v>
      </c>
      <c r="AA27" s="122">
        <v>52.685758513931887</v>
      </c>
      <c r="AD27" s="37" t="s">
        <v>18</v>
      </c>
      <c r="AE27" s="106">
        <v>0.72599999999999998</v>
      </c>
      <c r="AF27" s="103">
        <f t="shared" si="4"/>
        <v>0.72399999999999998</v>
      </c>
      <c r="AG27" s="106">
        <f t="shared" si="0"/>
        <v>2.8161764705882351</v>
      </c>
      <c r="AH27" s="107">
        <f t="shared" si="5"/>
        <v>56.323529411764703</v>
      </c>
    </row>
    <row r="28" spans="2:34" ht="15.75" x14ac:dyDescent="0.25">
      <c r="B28" s="23" t="s">
        <v>94</v>
      </c>
      <c r="C28" s="11">
        <f>SUM(C19:C27)</f>
        <v>485.85913312693492</v>
      </c>
      <c r="D28" s="11">
        <f>SUM(D19:D27)</f>
        <v>489.88390092879251</v>
      </c>
      <c r="E28" s="11">
        <f>SUM(E19:E27)</f>
        <v>486.32352941176475</v>
      </c>
      <c r="F28" s="88">
        <f>SUM(F19:F27)</f>
        <v>1462.0665634674924</v>
      </c>
      <c r="G28" s="9"/>
      <c r="H28" s="15"/>
      <c r="N28" s="15"/>
      <c r="O28" s="15"/>
      <c r="P28" s="15"/>
      <c r="Q28" s="15"/>
      <c r="R28" s="15"/>
      <c r="X28" s="68" t="s">
        <v>109</v>
      </c>
      <c r="Y28" s="68" t="s">
        <v>112</v>
      </c>
      <c r="Z28" s="68">
        <v>1</v>
      </c>
      <c r="AA28" s="122">
        <v>56.400928792569658</v>
      </c>
      <c r="AD28" s="37" t="s">
        <v>17</v>
      </c>
      <c r="AE28" s="106">
        <v>0.66500000000000004</v>
      </c>
      <c r="AF28" s="103">
        <f t="shared" si="4"/>
        <v>0.66300000000000003</v>
      </c>
      <c r="AG28" s="106">
        <f t="shared" si="0"/>
        <v>2.5801083591331269</v>
      </c>
      <c r="AH28" s="107">
        <f t="shared" si="5"/>
        <v>51.602167182662541</v>
      </c>
    </row>
    <row r="29" spans="2:34" ht="15.75" x14ac:dyDescent="0.25">
      <c r="B29" s="23" t="s">
        <v>95</v>
      </c>
      <c r="C29" s="9">
        <f>AVERAGE(C19:C28)</f>
        <v>97.171826625386984</v>
      </c>
      <c r="D29" s="9">
        <f>AVERAGE(D19:D28)</f>
        <v>97.9767801857585</v>
      </c>
      <c r="E29" s="9">
        <f>AVERAGE(E19:E28)</f>
        <v>97.264705882352956</v>
      </c>
      <c r="F29" s="56"/>
      <c r="G29" s="9"/>
      <c r="H29" s="15"/>
      <c r="I29" s="64" t="s">
        <v>154</v>
      </c>
      <c r="J29" s="61"/>
      <c r="K29" s="61"/>
      <c r="L29" s="61"/>
      <c r="M29" s="61"/>
      <c r="N29" s="15"/>
      <c r="O29" s="15"/>
      <c r="P29" s="15"/>
      <c r="Q29" s="15"/>
      <c r="R29" s="15"/>
      <c r="X29" s="68" t="s">
        <v>109</v>
      </c>
      <c r="Y29" s="68" t="s">
        <v>112</v>
      </c>
      <c r="Z29" s="68">
        <v>2</v>
      </c>
      <c r="AA29" s="122">
        <v>56.865325077399376</v>
      </c>
      <c r="AD29" s="37" t="s">
        <v>19</v>
      </c>
      <c r="AE29" s="106">
        <v>0.67700000000000005</v>
      </c>
      <c r="AF29" s="103">
        <f t="shared" si="4"/>
        <v>0.67500000000000004</v>
      </c>
      <c r="AG29" s="106">
        <f t="shared" si="0"/>
        <v>2.6265479876160991</v>
      </c>
      <c r="AH29" s="107">
        <f t="shared" si="5"/>
        <v>52.530959752321984</v>
      </c>
    </row>
    <row r="30" spans="2:34" ht="15.75" x14ac:dyDescent="0.25">
      <c r="B30" s="15"/>
      <c r="C30" s="15"/>
      <c r="D30" s="15"/>
      <c r="E30" s="15"/>
      <c r="F30" s="15"/>
      <c r="G30" s="15"/>
      <c r="H30" s="15"/>
      <c r="I30" s="192" t="s">
        <v>155</v>
      </c>
      <c r="J30" s="192"/>
      <c r="K30" s="192"/>
      <c r="L30" s="192"/>
      <c r="M30" s="192"/>
      <c r="N30" s="15"/>
      <c r="O30" s="15"/>
      <c r="P30" s="15"/>
      <c r="Q30" s="15"/>
      <c r="R30" s="15"/>
      <c r="X30" s="68" t="s">
        <v>109</v>
      </c>
      <c r="Y30" s="68" t="s">
        <v>112</v>
      </c>
      <c r="Z30" s="68">
        <v>3</v>
      </c>
      <c r="AA30" s="122">
        <v>55.781733746130023</v>
      </c>
      <c r="AD30" s="37" t="s">
        <v>20</v>
      </c>
      <c r="AE30" s="106">
        <v>0.65100000000000002</v>
      </c>
      <c r="AF30" s="103">
        <f t="shared" si="4"/>
        <v>0.64900000000000002</v>
      </c>
      <c r="AG30" s="106">
        <f t="shared" si="0"/>
        <v>2.5259287925696596</v>
      </c>
      <c r="AH30" s="107">
        <f t="shared" si="5"/>
        <v>50.518575851393194</v>
      </c>
    </row>
    <row r="31" spans="2:34" ht="15.75" x14ac:dyDescent="0.25">
      <c r="B31" s="29" t="s">
        <v>153</v>
      </c>
      <c r="C31">
        <v>3</v>
      </c>
      <c r="D31" s="15"/>
      <c r="E31" s="15"/>
      <c r="F31" s="15"/>
      <c r="G31" s="15"/>
      <c r="H31" s="15"/>
      <c r="I31" s="192" t="s">
        <v>156</v>
      </c>
      <c r="J31" s="192"/>
      <c r="K31" s="192"/>
      <c r="L31" s="192"/>
      <c r="M31" s="192"/>
      <c r="N31" s="15"/>
      <c r="O31" s="15"/>
      <c r="P31" s="15"/>
      <c r="Q31" s="15"/>
      <c r="R31" s="15"/>
      <c r="AD31" s="37" t="s">
        <v>21</v>
      </c>
      <c r="AE31" s="106">
        <v>0.69199999999999995</v>
      </c>
      <c r="AF31" s="103">
        <f t="shared" si="4"/>
        <v>0.69</v>
      </c>
      <c r="AG31" s="106">
        <f t="shared" si="0"/>
        <v>2.6845975232198138</v>
      </c>
      <c r="AH31" s="107">
        <f t="shared" si="5"/>
        <v>53.691950464396278</v>
      </c>
    </row>
    <row r="32" spans="2:34" x14ac:dyDescent="0.25">
      <c r="B32" t="s">
        <v>131</v>
      </c>
      <c r="C32">
        <v>3</v>
      </c>
      <c r="D32" s="15"/>
      <c r="E32" s="15"/>
      <c r="F32" s="15"/>
      <c r="G32" s="15"/>
      <c r="H32" s="15"/>
      <c r="I32" s="63" t="s">
        <v>157</v>
      </c>
      <c r="N32" s="15"/>
      <c r="O32" s="15"/>
      <c r="P32" s="15"/>
      <c r="Q32" s="15"/>
      <c r="R32" s="15"/>
      <c r="AD32" s="37" t="s">
        <v>22</v>
      </c>
      <c r="AE32" s="106">
        <v>0.70399999999999996</v>
      </c>
      <c r="AF32" s="103">
        <f t="shared" si="4"/>
        <v>0.70199999999999996</v>
      </c>
      <c r="AG32" s="106">
        <f t="shared" si="0"/>
        <v>2.731037151702786</v>
      </c>
      <c r="AH32" s="107">
        <f t="shared" si="5"/>
        <v>54.620743034055721</v>
      </c>
    </row>
    <row r="33" spans="2:34" x14ac:dyDescent="0.25">
      <c r="B33" t="s">
        <v>105</v>
      </c>
      <c r="C33">
        <v>3</v>
      </c>
      <c r="D33" s="15"/>
      <c r="E33" s="15"/>
      <c r="F33" s="15"/>
      <c r="G33" s="15"/>
      <c r="H33" s="15"/>
      <c r="N33" s="15"/>
      <c r="O33" s="42"/>
      <c r="P33" s="15"/>
      <c r="Q33" s="15"/>
      <c r="R33" s="15"/>
      <c r="AD33" s="37" t="s">
        <v>23</v>
      </c>
      <c r="AE33" s="106">
        <v>0.67900000000000005</v>
      </c>
      <c r="AF33" s="103">
        <f t="shared" si="4"/>
        <v>0.67700000000000005</v>
      </c>
      <c r="AG33" s="106">
        <f t="shared" si="0"/>
        <v>2.6342879256965945</v>
      </c>
      <c r="AH33" s="107">
        <f t="shared" si="5"/>
        <v>52.685758513931887</v>
      </c>
    </row>
    <row r="34" spans="2:34" ht="15.75" thickBot="1" x14ac:dyDescent="0.3">
      <c r="D34" s="15"/>
      <c r="E34" s="15"/>
      <c r="F34" s="15"/>
      <c r="G34" s="15"/>
      <c r="H34" s="15"/>
      <c r="I34" s="1" t="s">
        <v>185</v>
      </c>
      <c r="N34" s="15"/>
      <c r="O34" s="15"/>
      <c r="P34" s="15"/>
      <c r="Q34" s="15"/>
      <c r="R34" s="15"/>
      <c r="AD34" s="37" t="s">
        <v>24</v>
      </c>
      <c r="AE34" s="106">
        <v>0.72699999999999998</v>
      </c>
      <c r="AF34" s="103">
        <f t="shared" si="4"/>
        <v>0.72499999999999998</v>
      </c>
      <c r="AG34" s="106">
        <f t="shared" si="0"/>
        <v>2.820046439628483</v>
      </c>
      <c r="AH34" s="107">
        <f t="shared" si="5"/>
        <v>56.400928792569658</v>
      </c>
    </row>
    <row r="35" spans="2:34" ht="15.75" thickBot="1" x14ac:dyDescent="0.3">
      <c r="B35" t="s">
        <v>114</v>
      </c>
      <c r="C35" s="8">
        <f>(F28^2)/(C31*C32*C33)</f>
        <v>79171.80133369047</v>
      </c>
      <c r="D35" s="15"/>
      <c r="E35" s="15"/>
      <c r="F35" s="15"/>
      <c r="G35" s="15"/>
      <c r="H35" s="15"/>
      <c r="I35" s="75" t="s">
        <v>93</v>
      </c>
      <c r="J35" s="75" t="s">
        <v>141</v>
      </c>
      <c r="K35" s="115" t="s">
        <v>161</v>
      </c>
      <c r="L35" s="76" t="s">
        <v>128</v>
      </c>
      <c r="N35" s="15"/>
      <c r="O35" s="29"/>
      <c r="P35" s="83"/>
      <c r="Q35" s="83"/>
      <c r="R35" s="83"/>
      <c r="S35" s="83"/>
      <c r="T35" s="83"/>
      <c r="U35" s="83"/>
      <c r="V35" s="83"/>
      <c r="W35" s="83"/>
      <c r="X35" s="83"/>
      <c r="Y35" s="27"/>
      <c r="AD35" s="37" t="s">
        <v>26</v>
      </c>
      <c r="AE35" s="106">
        <v>0.73299999999999998</v>
      </c>
      <c r="AF35" s="103">
        <f t="shared" si="4"/>
        <v>0.73099999999999998</v>
      </c>
      <c r="AG35" s="106">
        <f t="shared" si="0"/>
        <v>2.8432662538699689</v>
      </c>
      <c r="AH35" s="107">
        <f t="shared" si="5"/>
        <v>56.865325077399376</v>
      </c>
    </row>
    <row r="36" spans="2:34" ht="15.75" thickBot="1" x14ac:dyDescent="0.3">
      <c r="B36" t="s">
        <v>115</v>
      </c>
      <c r="C36" s="8">
        <f>(SUMSQ(C19:E27))-C35</f>
        <v>126.45005135107203</v>
      </c>
      <c r="D36" s="15"/>
      <c r="E36" s="15"/>
      <c r="F36" s="15"/>
      <c r="G36" s="15"/>
      <c r="H36" s="15"/>
      <c r="I36" s="97" t="s">
        <v>110</v>
      </c>
      <c r="J36" s="90">
        <f>J7</f>
        <v>51.739766081871345</v>
      </c>
      <c r="K36" s="91">
        <f>J36+J$39</f>
        <v>52.830061043421658</v>
      </c>
      <c r="L36" s="92" t="s">
        <v>144</v>
      </c>
      <c r="O36" s="83"/>
      <c r="P36" s="83"/>
      <c r="Q36" s="27"/>
      <c r="R36" s="27"/>
      <c r="S36" s="27"/>
      <c r="T36" s="27"/>
      <c r="U36" s="27"/>
      <c r="V36" s="27"/>
      <c r="W36" s="27"/>
      <c r="X36" s="27"/>
      <c r="Y36" s="27"/>
      <c r="AD36" s="43" t="s">
        <v>25</v>
      </c>
      <c r="AE36" s="108">
        <v>0.71899999999999997</v>
      </c>
      <c r="AF36" s="109">
        <f t="shared" si="4"/>
        <v>0.71699999999999997</v>
      </c>
      <c r="AG36" s="108">
        <f t="shared" si="0"/>
        <v>2.7890866873065012</v>
      </c>
      <c r="AH36" s="110">
        <f t="shared" si="5"/>
        <v>55.781733746130023</v>
      </c>
    </row>
    <row r="37" spans="2:34" x14ac:dyDescent="0.25">
      <c r="B37" t="s">
        <v>116</v>
      </c>
      <c r="C37" s="8">
        <f>(SUMSQ(C28:E28)/(C31*C32))-C35</f>
        <v>1.0774320410127984</v>
      </c>
      <c r="D37" s="15"/>
      <c r="E37" s="15"/>
      <c r="F37" s="15"/>
      <c r="G37" s="15"/>
      <c r="H37" s="15"/>
      <c r="I37" s="98" t="s">
        <v>111</v>
      </c>
      <c r="J37" s="47">
        <f>K7</f>
        <v>54.035947712418299</v>
      </c>
      <c r="K37" s="42">
        <f>J37+J$39</f>
        <v>55.126242673968612</v>
      </c>
      <c r="L37" s="40" t="s">
        <v>145</v>
      </c>
      <c r="N37" s="8"/>
      <c r="O37" s="83"/>
      <c r="P37" s="83"/>
      <c r="Q37" s="83"/>
      <c r="R37" s="27"/>
      <c r="S37" s="27"/>
      <c r="T37" s="27"/>
      <c r="U37" s="27"/>
      <c r="V37" s="27"/>
      <c r="W37" s="27"/>
      <c r="X37" s="27"/>
      <c r="Y37" s="27"/>
    </row>
    <row r="38" spans="2:34" ht="15.75" thickBot="1" x14ac:dyDescent="0.3">
      <c r="B38" t="s">
        <v>117</v>
      </c>
      <c r="C38" s="8">
        <f>(SUMSQ(F19:F27)/C33)-C35</f>
        <v>112.52375409270462</v>
      </c>
      <c r="D38" s="15"/>
      <c r="E38" s="15"/>
      <c r="F38" s="15"/>
      <c r="G38" s="15"/>
      <c r="H38" s="15"/>
      <c r="I38" s="99" t="s">
        <v>112</v>
      </c>
      <c r="J38" s="78">
        <f>L7</f>
        <v>56.676126590987259</v>
      </c>
      <c r="K38" s="79">
        <f>J38+J$39</f>
        <v>57.766421552537572</v>
      </c>
      <c r="L38" s="44" t="s">
        <v>167</v>
      </c>
      <c r="N38" s="8"/>
      <c r="O38" s="83"/>
      <c r="P38" s="83"/>
      <c r="Q38" s="83"/>
      <c r="R38" s="83"/>
      <c r="S38" s="27"/>
      <c r="T38" s="27"/>
      <c r="U38" s="27"/>
      <c r="V38" s="27"/>
      <c r="W38" s="27"/>
      <c r="X38" s="27"/>
      <c r="Y38" s="27"/>
    </row>
    <row r="39" spans="2:34" ht="15.75" thickBot="1" x14ac:dyDescent="0.3">
      <c r="B39" t="s">
        <v>118</v>
      </c>
      <c r="C39" s="8">
        <f>C36-C37-C38</f>
        <v>12.848865217354614</v>
      </c>
      <c r="D39" s="15"/>
      <c r="E39" s="15"/>
      <c r="F39" s="15"/>
      <c r="G39" s="15"/>
      <c r="I39" s="93" t="s">
        <v>176</v>
      </c>
      <c r="J39" s="189">
        <f>J27</f>
        <v>1.0902949615503099</v>
      </c>
      <c r="K39" s="190"/>
      <c r="L39" s="191"/>
      <c r="M39" s="66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2:34" x14ac:dyDescent="0.25"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8" spans="2:34" ht="15.75" x14ac:dyDescent="0.25">
      <c r="I48" s="188" t="s">
        <v>93</v>
      </c>
      <c r="J48" s="188"/>
      <c r="K48" s="188"/>
      <c r="L48" s="188"/>
      <c r="M48" s="188"/>
      <c r="N48" s="84" t="s">
        <v>141</v>
      </c>
      <c r="O48" s="84" t="s">
        <v>168</v>
      </c>
      <c r="P48" s="84" t="s">
        <v>128</v>
      </c>
    </row>
    <row r="49" spans="9:16" ht="15.75" x14ac:dyDescent="0.25">
      <c r="I49" s="193" t="s">
        <v>188</v>
      </c>
      <c r="J49" s="193"/>
      <c r="K49" s="193"/>
      <c r="L49" s="193"/>
      <c r="M49" s="193"/>
      <c r="N49" s="85">
        <v>51.739766081871345</v>
      </c>
      <c r="O49" s="86">
        <f>J6</f>
        <v>465.65789473684208</v>
      </c>
      <c r="P49" s="87" t="s">
        <v>144</v>
      </c>
    </row>
    <row r="50" spans="9:16" ht="15.75" x14ac:dyDescent="0.25">
      <c r="I50" s="193" t="s">
        <v>190</v>
      </c>
      <c r="J50" s="193"/>
      <c r="K50" s="193"/>
      <c r="L50" s="193"/>
      <c r="M50" s="193"/>
      <c r="N50" s="85">
        <v>54.035947712418299</v>
      </c>
      <c r="O50" s="86">
        <f>K6</f>
        <v>486.3235294117647</v>
      </c>
      <c r="P50" s="87" t="s">
        <v>145</v>
      </c>
    </row>
    <row r="51" spans="9:16" ht="15.75" x14ac:dyDescent="0.25">
      <c r="I51" s="177" t="s">
        <v>189</v>
      </c>
      <c r="J51" s="177"/>
      <c r="K51" s="177"/>
      <c r="L51" s="177"/>
      <c r="M51" s="177"/>
      <c r="N51" s="85">
        <v>56.676126590987259</v>
      </c>
      <c r="O51" s="86">
        <f>L6</f>
        <v>510.08513931888535</v>
      </c>
      <c r="P51" s="87" t="s">
        <v>167</v>
      </c>
    </row>
    <row r="52" spans="9:16" ht="15.75" x14ac:dyDescent="0.25">
      <c r="I52" s="177" t="s">
        <v>176</v>
      </c>
      <c r="J52" s="177"/>
      <c r="K52" s="177"/>
      <c r="L52" s="177"/>
      <c r="M52" s="177"/>
      <c r="N52" s="174">
        <f>J39</f>
        <v>1.0902949615503099</v>
      </c>
      <c r="O52" s="174"/>
      <c r="P52" s="174"/>
    </row>
  </sheetData>
  <sortState xmlns:xlrd2="http://schemas.microsoft.com/office/spreadsheetml/2017/richdata2" ref="I36:L38">
    <sortCondition ref="J36:J38"/>
  </sortState>
  <mergeCells count="20">
    <mergeCell ref="X1:AA1"/>
    <mergeCell ref="J24:M24"/>
    <mergeCell ref="F2:F3"/>
    <mergeCell ref="G2:G3"/>
    <mergeCell ref="I51:M51"/>
    <mergeCell ref="I52:M52"/>
    <mergeCell ref="N52:P52"/>
    <mergeCell ref="B2:B3"/>
    <mergeCell ref="C2:E2"/>
    <mergeCell ref="J25:M25"/>
    <mergeCell ref="I30:M30"/>
    <mergeCell ref="I31:M31"/>
    <mergeCell ref="J39:L39"/>
    <mergeCell ref="I48:M48"/>
    <mergeCell ref="I49:M49"/>
    <mergeCell ref="C17:E17"/>
    <mergeCell ref="F17:F18"/>
    <mergeCell ref="G17:G18"/>
    <mergeCell ref="B17:B18"/>
    <mergeCell ref="I50:M5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B7E6B-15EB-4500-ACC0-8B03DEEC3E45}">
  <dimension ref="B1:AA63"/>
  <sheetViews>
    <sheetView zoomScale="80" zoomScaleNormal="80" workbookViewId="0">
      <selection activeCell="F23" sqref="F23"/>
    </sheetView>
  </sheetViews>
  <sheetFormatPr defaultRowHeight="15" x14ac:dyDescent="0.25"/>
  <cols>
    <col min="2" max="2" width="13.85546875" customWidth="1"/>
    <col min="3" max="3" width="12.7109375" customWidth="1"/>
    <col min="4" max="5" width="11.7109375" bestFit="1" customWidth="1"/>
    <col min="6" max="6" width="11" bestFit="1" customWidth="1"/>
    <col min="7" max="7" width="13.5703125" bestFit="1" customWidth="1"/>
    <col min="8" max="8" width="13.140625" bestFit="1" customWidth="1"/>
    <col min="9" max="9" width="23.42578125" bestFit="1" customWidth="1"/>
    <col min="10" max="10" width="12.140625" customWidth="1"/>
    <col min="11" max="11" width="21.7109375" customWidth="1"/>
    <col min="12" max="12" width="9.7109375" customWidth="1"/>
    <col min="13" max="13" width="11" bestFit="1" customWidth="1"/>
    <col min="14" max="14" width="13.5703125" bestFit="1" customWidth="1"/>
    <col min="15" max="15" width="16.42578125" bestFit="1" customWidth="1"/>
    <col min="16" max="16" width="12.5703125" customWidth="1"/>
    <col min="19" max="19" width="26.5703125" bestFit="1" customWidth="1"/>
    <col min="20" max="20" width="25.140625" bestFit="1" customWidth="1"/>
    <col min="21" max="21" width="10.5703125" bestFit="1" customWidth="1"/>
    <col min="22" max="22" width="13.85546875" bestFit="1" customWidth="1"/>
    <col min="24" max="24" width="26.5703125" bestFit="1" customWidth="1"/>
    <col min="25" max="25" width="25.140625" bestFit="1" customWidth="1"/>
    <col min="26" max="26" width="10.85546875" bestFit="1" customWidth="1"/>
    <col min="27" max="27" width="13.5703125" customWidth="1"/>
    <col min="28" max="28" width="6.140625" bestFit="1" customWidth="1"/>
  </cols>
  <sheetData>
    <row r="1" spans="2:27" ht="15.75" x14ac:dyDescent="0.25">
      <c r="H1" s="29"/>
      <c r="I1" s="57" t="s">
        <v>106</v>
      </c>
      <c r="J1" s="58"/>
      <c r="K1" s="36"/>
      <c r="L1" s="36"/>
      <c r="M1" s="36"/>
      <c r="N1" s="36"/>
      <c r="O1" s="59"/>
      <c r="P1" s="36"/>
      <c r="Q1" s="36"/>
      <c r="R1" s="15"/>
      <c r="X1" s="176" t="s">
        <v>163</v>
      </c>
      <c r="Y1" s="176"/>
      <c r="Z1" s="176"/>
      <c r="AA1" s="176"/>
    </row>
    <row r="2" spans="2:27" x14ac:dyDescent="0.25">
      <c r="B2" s="180" t="s">
        <v>93</v>
      </c>
      <c r="C2" s="182" t="s">
        <v>90</v>
      </c>
      <c r="D2" s="183"/>
      <c r="E2" s="184"/>
      <c r="F2" s="185" t="s">
        <v>94</v>
      </c>
      <c r="G2" s="187" t="s">
        <v>95</v>
      </c>
      <c r="H2" s="25"/>
      <c r="I2" s="21" t="s">
        <v>93</v>
      </c>
      <c r="J2" s="72" t="s">
        <v>110</v>
      </c>
      <c r="K2" s="21" t="s">
        <v>111</v>
      </c>
      <c r="L2" s="21" t="s">
        <v>112</v>
      </c>
      <c r="M2" s="21" t="s">
        <v>94</v>
      </c>
      <c r="N2" s="21" t="s">
        <v>95</v>
      </c>
      <c r="O2" s="30"/>
      <c r="P2" s="15"/>
      <c r="Q2" s="15"/>
      <c r="R2" s="15"/>
    </row>
    <row r="3" spans="2:27" ht="15.75" x14ac:dyDescent="0.25">
      <c r="B3" s="181"/>
      <c r="C3" s="55" t="s">
        <v>91</v>
      </c>
      <c r="D3" s="55" t="s">
        <v>92</v>
      </c>
      <c r="E3" s="55" t="s">
        <v>198</v>
      </c>
      <c r="F3" s="186"/>
      <c r="G3" s="187"/>
      <c r="H3" s="25"/>
      <c r="I3" s="22" t="s">
        <v>107</v>
      </c>
      <c r="J3" s="170">
        <f>F4</f>
        <v>133.1630397903196</v>
      </c>
      <c r="K3" s="134">
        <f>F5</f>
        <v>423.77692979355874</v>
      </c>
      <c r="L3" s="134">
        <f>F6</f>
        <v>588.09293733910249</v>
      </c>
      <c r="M3" s="134">
        <f>SUM(J3:L3)</f>
        <v>1145.0329069229808</v>
      </c>
      <c r="N3" s="136">
        <f>SUM(J3:L3)/9</f>
        <v>127.22587854699788</v>
      </c>
      <c r="O3" s="28"/>
      <c r="P3" s="15"/>
      <c r="Q3" s="15"/>
      <c r="R3" s="15"/>
      <c r="X3" s="68" t="s">
        <v>164</v>
      </c>
      <c r="Y3" s="68" t="s">
        <v>166</v>
      </c>
      <c r="Z3" s="68" t="s">
        <v>90</v>
      </c>
      <c r="AA3" s="68" t="s">
        <v>191</v>
      </c>
    </row>
    <row r="4" spans="2:27" ht="15.75" x14ac:dyDescent="0.25">
      <c r="B4" s="9" t="s">
        <v>96</v>
      </c>
      <c r="C4" s="11">
        <v>44.947834334492562</v>
      </c>
      <c r="D4" s="11">
        <v>30.030733768728393</v>
      </c>
      <c r="E4" s="11">
        <v>58.18447168709865</v>
      </c>
      <c r="F4" s="16">
        <f>SUM(C4:E4)</f>
        <v>133.1630397903196</v>
      </c>
      <c r="G4" s="14">
        <f>AVERAGE(C4:E4)</f>
        <v>44.387679930106536</v>
      </c>
      <c r="H4" s="28"/>
      <c r="I4" s="22" t="s">
        <v>108</v>
      </c>
      <c r="J4" s="170">
        <f>F7</f>
        <v>196.93631464976545</v>
      </c>
      <c r="K4" s="134">
        <f>F8</f>
        <v>199.6784466608255</v>
      </c>
      <c r="L4" s="134">
        <f>F9</f>
        <v>209.6755177977725</v>
      </c>
      <c r="M4" s="134">
        <f>SUM(J4:L4)</f>
        <v>606.29027910836339</v>
      </c>
      <c r="N4" s="136">
        <f>SUM(J4:L4)/9</f>
        <v>67.365586567595926</v>
      </c>
      <c r="O4" s="28"/>
      <c r="P4" s="15"/>
      <c r="Q4" s="15"/>
      <c r="R4" s="15"/>
      <c r="X4" s="68" t="s">
        <v>107</v>
      </c>
      <c r="Y4" s="68" t="s">
        <v>110</v>
      </c>
      <c r="Z4" s="68">
        <v>1</v>
      </c>
      <c r="AA4" s="69">
        <v>44.95</v>
      </c>
    </row>
    <row r="5" spans="2:27" ht="15.75" x14ac:dyDescent="0.25">
      <c r="B5" s="9" t="s">
        <v>97</v>
      </c>
      <c r="C5" s="11">
        <v>98.215110524579345</v>
      </c>
      <c r="D5" s="11">
        <v>165.07840161861404</v>
      </c>
      <c r="E5" s="11">
        <v>160.48341765036537</v>
      </c>
      <c r="F5" s="16">
        <f t="shared" ref="F5:F12" si="0">SUM(C5:E5)</f>
        <v>423.77692979355874</v>
      </c>
      <c r="G5" s="14">
        <f t="shared" ref="G5:G12" si="1">AVERAGE(C5:E5)</f>
        <v>141.25897659785292</v>
      </c>
      <c r="H5" s="28"/>
      <c r="I5" s="22" t="s">
        <v>109</v>
      </c>
      <c r="J5" s="170">
        <f>F10</f>
        <v>176.77639531706401</v>
      </c>
      <c r="K5" s="134">
        <f>F11</f>
        <v>186.37457260924671</v>
      </c>
      <c r="L5" s="134">
        <f>F12</f>
        <v>189.14801085617182</v>
      </c>
      <c r="M5" s="134">
        <f>SUM(J5:L5)</f>
        <v>552.29897878248255</v>
      </c>
      <c r="N5" s="136">
        <f>SUM(J5:L5)/9</f>
        <v>61.366553198053616</v>
      </c>
      <c r="O5" s="28"/>
      <c r="P5" s="15"/>
      <c r="Q5" s="15"/>
      <c r="R5" s="15"/>
      <c r="X5" s="68" t="s">
        <v>107</v>
      </c>
      <c r="Y5" s="68" t="s">
        <v>110</v>
      </c>
      <c r="Z5" s="68">
        <v>2</v>
      </c>
      <c r="AA5" s="69">
        <v>30.03</v>
      </c>
    </row>
    <row r="6" spans="2:27" ht="15.75" x14ac:dyDescent="0.25">
      <c r="B6" s="9" t="s">
        <v>98</v>
      </c>
      <c r="C6" s="11">
        <v>235.11380880121396</v>
      </c>
      <c r="D6" s="11">
        <v>265.62753036437249</v>
      </c>
      <c r="E6" s="11">
        <v>87.351598173515981</v>
      </c>
      <c r="F6" s="16">
        <f t="shared" si="0"/>
        <v>588.09293733910249</v>
      </c>
      <c r="G6" s="14">
        <f t="shared" si="1"/>
        <v>196.03097911303416</v>
      </c>
      <c r="H6" s="28"/>
      <c r="I6" s="23" t="s">
        <v>113</v>
      </c>
      <c r="J6" s="170">
        <f>SUM(J3:J5)</f>
        <v>506.87574975714904</v>
      </c>
      <c r="K6" s="134">
        <f>SUM(K3:K5)</f>
        <v>809.82994906363092</v>
      </c>
      <c r="L6" s="134">
        <f>SUM(L3:L5)</f>
        <v>986.91646599304681</v>
      </c>
      <c r="M6" s="151">
        <f>SUM(M3:M5)</f>
        <v>2303.6221648138267</v>
      </c>
      <c r="N6" s="134"/>
      <c r="O6" s="31"/>
      <c r="P6" s="15"/>
      <c r="Q6" s="15"/>
      <c r="R6" s="15"/>
      <c r="X6" s="68" t="s">
        <v>107</v>
      </c>
      <c r="Y6" s="68" t="s">
        <v>110</v>
      </c>
      <c r="Z6" s="68">
        <v>3</v>
      </c>
      <c r="AA6" s="69">
        <v>58.18</v>
      </c>
    </row>
    <row r="7" spans="2:27" ht="15.75" x14ac:dyDescent="0.25">
      <c r="B7" s="9" t="s">
        <v>99</v>
      </c>
      <c r="C7" s="11">
        <v>40.191514437242191</v>
      </c>
      <c r="D7" s="11">
        <v>64.176706827309232</v>
      </c>
      <c r="E7" s="11">
        <v>92.568093385214027</v>
      </c>
      <c r="F7" s="16">
        <f t="shared" si="0"/>
        <v>196.93631464976545</v>
      </c>
      <c r="G7" s="14">
        <f t="shared" si="1"/>
        <v>65.645438216588488</v>
      </c>
      <c r="H7" s="28"/>
      <c r="I7" s="23" t="s">
        <v>95</v>
      </c>
      <c r="J7" s="172">
        <f>SUM(J3:J5)/9</f>
        <v>56.319527750794336</v>
      </c>
      <c r="K7" s="172">
        <f>SUM(K3:K5)/9</f>
        <v>89.981105451514551</v>
      </c>
      <c r="L7" s="172">
        <f>SUM(L3:L5)/9</f>
        <v>109.65738511033854</v>
      </c>
      <c r="M7" s="134"/>
      <c r="N7" s="134"/>
      <c r="O7" s="26"/>
      <c r="P7" s="15"/>
      <c r="Q7" s="15"/>
      <c r="R7" s="15"/>
      <c r="X7" s="68" t="s">
        <v>107</v>
      </c>
      <c r="Y7" s="68" t="s">
        <v>111</v>
      </c>
      <c r="Z7" s="68">
        <v>1</v>
      </c>
      <c r="AA7" s="69">
        <v>98.22</v>
      </c>
    </row>
    <row r="8" spans="2:27" ht="15.75" x14ac:dyDescent="0.25">
      <c r="B8" s="9" t="s">
        <v>100</v>
      </c>
      <c r="C8" s="11">
        <v>76.719334719334725</v>
      </c>
      <c r="D8" s="11">
        <v>60.827442827442823</v>
      </c>
      <c r="E8" s="11">
        <v>62.131669114047966</v>
      </c>
      <c r="F8" s="16">
        <f t="shared" si="0"/>
        <v>199.6784466608255</v>
      </c>
      <c r="G8" s="14">
        <f>AVERAGE(C8:E8)</f>
        <v>66.559482220275171</v>
      </c>
      <c r="H8" s="28"/>
      <c r="I8" s="15"/>
      <c r="J8" s="39"/>
      <c r="K8" s="15"/>
      <c r="L8" s="15"/>
      <c r="M8" s="15"/>
      <c r="N8" s="15"/>
      <c r="O8" s="15"/>
      <c r="P8" s="15"/>
      <c r="Q8" s="15"/>
      <c r="R8" s="15"/>
      <c r="X8" s="68" t="s">
        <v>107</v>
      </c>
      <c r="Y8" s="68" t="s">
        <v>111</v>
      </c>
      <c r="Z8" s="68">
        <v>2</v>
      </c>
      <c r="AA8" s="69">
        <v>165.08</v>
      </c>
    </row>
    <row r="9" spans="2:27" ht="15.75" x14ac:dyDescent="0.25">
      <c r="B9" s="9" t="s">
        <v>101</v>
      </c>
      <c r="C9" s="11">
        <v>73.793103448275858</v>
      </c>
      <c r="D9" s="11">
        <v>107.32996065205172</v>
      </c>
      <c r="E9" s="11">
        <v>28.552453697444907</v>
      </c>
      <c r="F9" s="16">
        <f t="shared" si="0"/>
        <v>209.6755177977725</v>
      </c>
      <c r="G9" s="14">
        <f>AVERAGE(C9:E9)</f>
        <v>69.891839265924162</v>
      </c>
      <c r="H9" s="28"/>
      <c r="I9" s="15" t="s">
        <v>119</v>
      </c>
      <c r="J9" s="42">
        <f>(SUMSQ(M3:M5)/(C16*C18))-C20</f>
        <v>23870.081077938637</v>
      </c>
      <c r="K9" s="15"/>
      <c r="L9" s="15"/>
      <c r="M9" s="15"/>
      <c r="N9" s="15"/>
      <c r="O9" s="15"/>
      <c r="P9" s="15"/>
      <c r="Q9" s="15"/>
      <c r="R9" s="15"/>
      <c r="X9" s="68" t="s">
        <v>107</v>
      </c>
      <c r="Y9" s="68" t="s">
        <v>111</v>
      </c>
      <c r="Z9" s="68">
        <v>3</v>
      </c>
      <c r="AA9" s="69">
        <v>160.47999999999999</v>
      </c>
    </row>
    <row r="10" spans="2:27" ht="15.75" x14ac:dyDescent="0.25">
      <c r="B10" s="9" t="s">
        <v>102</v>
      </c>
      <c r="C10" s="11">
        <v>57.470659651962777</v>
      </c>
      <c r="D10" s="11">
        <v>40.727081138040042</v>
      </c>
      <c r="E10" s="11">
        <v>78.57865452706119</v>
      </c>
      <c r="F10" s="16">
        <f t="shared" si="0"/>
        <v>176.77639531706401</v>
      </c>
      <c r="G10" s="14">
        <f t="shared" si="1"/>
        <v>58.925465105688005</v>
      </c>
      <c r="H10" s="28"/>
      <c r="I10" s="15" t="s">
        <v>120</v>
      </c>
      <c r="J10" s="42">
        <f>(SUMSQ(J6:L6)/(C17*C18))-C20</f>
        <v>13095.554466662812</v>
      </c>
      <c r="K10" s="15"/>
      <c r="L10" s="15"/>
      <c r="M10" s="15"/>
      <c r="N10" s="15"/>
      <c r="O10" s="15"/>
      <c r="P10" s="15"/>
      <c r="Q10" s="15"/>
      <c r="R10" s="15"/>
      <c r="X10" s="68" t="s">
        <v>107</v>
      </c>
      <c r="Y10" s="68" t="s">
        <v>112</v>
      </c>
      <c r="Z10" s="68">
        <v>1</v>
      </c>
      <c r="AA10" s="69">
        <v>235.11</v>
      </c>
    </row>
    <row r="11" spans="2:27" ht="15.75" x14ac:dyDescent="0.25">
      <c r="B11" s="9" t="s">
        <v>103</v>
      </c>
      <c r="C11" s="11">
        <v>87.833800186741357</v>
      </c>
      <c r="D11" s="11">
        <v>58.342399083882057</v>
      </c>
      <c r="E11" s="11">
        <v>40.198373338623291</v>
      </c>
      <c r="F11" s="16">
        <f t="shared" si="0"/>
        <v>186.37457260924671</v>
      </c>
      <c r="G11" s="14">
        <f t="shared" si="1"/>
        <v>62.124857536415568</v>
      </c>
      <c r="H11" s="28"/>
      <c r="I11" s="41" t="s">
        <v>134</v>
      </c>
      <c r="J11" s="42">
        <f>C23-J9-J10</f>
        <v>22342.225192946818</v>
      </c>
      <c r="K11" s="15"/>
      <c r="L11" s="15"/>
      <c r="M11" s="15"/>
      <c r="N11" s="15"/>
      <c r="O11" s="15"/>
      <c r="P11" s="15"/>
      <c r="Q11" s="15"/>
      <c r="R11" s="15"/>
      <c r="X11" s="68" t="s">
        <v>107</v>
      </c>
      <c r="Y11" s="68" t="s">
        <v>112</v>
      </c>
      <c r="Z11" s="68">
        <v>2</v>
      </c>
      <c r="AA11" s="69">
        <v>265.63</v>
      </c>
    </row>
    <row r="12" spans="2:27" ht="15.75" x14ac:dyDescent="0.25">
      <c r="B12" s="9" t="s">
        <v>104</v>
      </c>
      <c r="C12" s="11">
        <v>91.845325501713162</v>
      </c>
      <c r="D12" s="11">
        <v>28.995555555555555</v>
      </c>
      <c r="E12" s="11">
        <v>68.307129798903091</v>
      </c>
      <c r="F12" s="16">
        <f t="shared" si="0"/>
        <v>189.14801085617182</v>
      </c>
      <c r="G12" s="14">
        <f t="shared" si="1"/>
        <v>63.049336952057274</v>
      </c>
      <c r="H12" s="28"/>
      <c r="I12" s="15"/>
      <c r="J12" s="15"/>
      <c r="K12" s="15"/>
      <c r="L12" s="15"/>
      <c r="M12" s="15"/>
      <c r="N12" s="15"/>
      <c r="O12" s="15"/>
      <c r="P12" s="15"/>
      <c r="Q12" s="15"/>
      <c r="R12" s="15"/>
      <c r="X12" s="68" t="s">
        <v>107</v>
      </c>
      <c r="Y12" s="68" t="s">
        <v>112</v>
      </c>
      <c r="Z12" s="68">
        <v>3</v>
      </c>
      <c r="AA12" s="69">
        <v>87.35</v>
      </c>
    </row>
    <row r="13" spans="2:27" ht="15.75" x14ac:dyDescent="0.25">
      <c r="B13" s="23" t="s">
        <v>94</v>
      </c>
      <c r="C13" s="11">
        <f>SUM(C4:C12)</f>
        <v>806.1304916055559</v>
      </c>
      <c r="D13" s="11">
        <f>SUM(D4:D12)</f>
        <v>821.13581183599626</v>
      </c>
      <c r="E13" s="11">
        <f>SUM(E4:E12)</f>
        <v>676.35586137227438</v>
      </c>
      <c r="F13" s="88">
        <f>SUM(F4:F12)</f>
        <v>2303.6221648138271</v>
      </c>
      <c r="G13" s="9"/>
      <c r="H13" s="29"/>
      <c r="I13" s="38" t="s">
        <v>121</v>
      </c>
      <c r="J13" s="15"/>
      <c r="K13" s="15"/>
      <c r="L13" s="15"/>
      <c r="M13" s="15"/>
      <c r="N13" s="15"/>
      <c r="O13" s="15"/>
      <c r="P13" s="15"/>
      <c r="Q13" s="15"/>
      <c r="R13" s="15"/>
      <c r="X13" s="68" t="s">
        <v>108</v>
      </c>
      <c r="Y13" s="68" t="s">
        <v>110</v>
      </c>
      <c r="Z13" s="68">
        <v>1</v>
      </c>
      <c r="AA13" s="69">
        <v>40.19</v>
      </c>
    </row>
    <row r="14" spans="2:27" ht="15.75" x14ac:dyDescent="0.25">
      <c r="B14" s="23" t="s">
        <v>95</v>
      </c>
      <c r="C14" s="11">
        <f>AVERAGE(C4:C12)</f>
        <v>89.57005462283955</v>
      </c>
      <c r="D14" s="11">
        <f>AVERAGE(D4:D12)</f>
        <v>91.237312426221806</v>
      </c>
      <c r="E14" s="11">
        <f>AVERAGE(E4:E12)</f>
        <v>75.150651263586042</v>
      </c>
      <c r="F14" s="16"/>
      <c r="G14" s="9"/>
      <c r="H14" s="29"/>
      <c r="I14" s="20" t="s">
        <v>122</v>
      </c>
      <c r="J14" s="53" t="s">
        <v>123</v>
      </c>
      <c r="K14" s="55" t="s">
        <v>124</v>
      </c>
      <c r="L14" s="55" t="s">
        <v>125</v>
      </c>
      <c r="M14" s="55" t="s">
        <v>126</v>
      </c>
      <c r="N14" s="55" t="s">
        <v>127</v>
      </c>
      <c r="O14" s="54" t="s">
        <v>135</v>
      </c>
      <c r="P14" s="55" t="s">
        <v>128</v>
      </c>
      <c r="Q14" s="15"/>
      <c r="R14" s="15"/>
      <c r="X14" s="68" t="s">
        <v>108</v>
      </c>
      <c r="Y14" s="68" t="s">
        <v>110</v>
      </c>
      <c r="Z14" s="68">
        <v>2</v>
      </c>
      <c r="AA14" s="69">
        <v>64.180000000000007</v>
      </c>
    </row>
    <row r="15" spans="2:27" ht="15.75" x14ac:dyDescent="0.25">
      <c r="B15" s="15"/>
      <c r="C15" s="15"/>
      <c r="D15" s="15"/>
      <c r="E15" s="15"/>
      <c r="F15" s="15"/>
      <c r="G15" s="15"/>
      <c r="H15" s="29"/>
      <c r="I15" s="9" t="s">
        <v>129</v>
      </c>
      <c r="J15" s="70">
        <f>C18-1</f>
        <v>2</v>
      </c>
      <c r="K15" s="11">
        <f>C22</f>
        <v>1408.4388275436067</v>
      </c>
      <c r="L15" s="11">
        <f t="shared" ref="L15:L20" si="2">K15/J15</f>
        <v>704.21941377180337</v>
      </c>
      <c r="M15" s="10">
        <f>L15/L$20</f>
        <v>0.39522839219232037</v>
      </c>
      <c r="N15" s="10">
        <f>FINV(0.05,J15,J$20)</f>
        <v>3.6337234675916301</v>
      </c>
      <c r="O15" s="10">
        <f>FINV(0.01,J15,J$20)</f>
        <v>6.2262352803113821</v>
      </c>
      <c r="P15" s="9" t="s">
        <v>142</v>
      </c>
      <c r="Q15" s="15"/>
      <c r="R15" s="67"/>
      <c r="X15" s="68" t="s">
        <v>108</v>
      </c>
      <c r="Y15" s="68" t="s">
        <v>110</v>
      </c>
      <c r="Z15" s="68">
        <v>3</v>
      </c>
      <c r="AA15" s="69">
        <v>92.57</v>
      </c>
    </row>
    <row r="16" spans="2:27" ht="15" customHeight="1" x14ac:dyDescent="0.25">
      <c r="B16" s="29" t="s">
        <v>153</v>
      </c>
      <c r="C16">
        <v>3</v>
      </c>
      <c r="D16" s="15"/>
      <c r="E16" s="15"/>
      <c r="F16" s="15"/>
      <c r="G16" s="15"/>
      <c r="H16" s="29"/>
      <c r="I16" s="9" t="s">
        <v>93</v>
      </c>
      <c r="J16" s="70">
        <f>(C16*C17)-1</f>
        <v>8</v>
      </c>
      <c r="K16" s="11">
        <f>C23</f>
        <v>59307.860737548268</v>
      </c>
      <c r="L16" s="11">
        <f t="shared" si="2"/>
        <v>7413.4825921935335</v>
      </c>
      <c r="M16" s="10">
        <f>L16/L$20</f>
        <v>4.1606617882986319</v>
      </c>
      <c r="N16" s="10">
        <f>FINV(0.05,J16,J$20)</f>
        <v>2.5910961798744014</v>
      </c>
      <c r="O16" s="10">
        <f>FINV(0.01,J16,J$20)</f>
        <v>3.8895721399261927</v>
      </c>
      <c r="P16" s="9" t="s">
        <v>137</v>
      </c>
      <c r="Q16" s="15"/>
      <c r="R16" s="67"/>
      <c r="X16" s="68" t="s">
        <v>108</v>
      </c>
      <c r="Y16" s="68" t="s">
        <v>111</v>
      </c>
      <c r="Z16" s="68">
        <v>1</v>
      </c>
      <c r="AA16" s="69">
        <v>76.72</v>
      </c>
    </row>
    <row r="17" spans="2:27" ht="15.75" x14ac:dyDescent="0.25">
      <c r="B17" t="s">
        <v>131</v>
      </c>
      <c r="C17">
        <v>3</v>
      </c>
      <c r="D17" s="15"/>
      <c r="E17" s="15"/>
      <c r="F17" s="15"/>
      <c r="G17" s="15"/>
      <c r="H17" s="29"/>
      <c r="I17" s="9" t="s">
        <v>130</v>
      </c>
      <c r="J17" s="70">
        <f>C16-1</f>
        <v>2</v>
      </c>
      <c r="K17" s="11">
        <f>J9</f>
        <v>23870.081077938637</v>
      </c>
      <c r="L17" s="11">
        <f t="shared" si="2"/>
        <v>11935.040538969319</v>
      </c>
      <c r="M17" s="10">
        <f>L17/L$20</f>
        <v>6.6982914567810203</v>
      </c>
      <c r="N17" s="10">
        <f>FINV(0.05,J17,J$20)</f>
        <v>3.6337234675916301</v>
      </c>
      <c r="O17" s="10">
        <f>FINV(0.01,J17,J$20)</f>
        <v>6.2262352803113821</v>
      </c>
      <c r="P17" s="9" t="s">
        <v>137</v>
      </c>
      <c r="Q17" s="15"/>
      <c r="R17" s="67"/>
      <c r="X17" s="68" t="s">
        <v>108</v>
      </c>
      <c r="Y17" s="68" t="s">
        <v>111</v>
      </c>
      <c r="Z17" s="68">
        <v>2</v>
      </c>
      <c r="AA17" s="69">
        <v>60.83</v>
      </c>
    </row>
    <row r="18" spans="2:27" ht="15.75" x14ac:dyDescent="0.25">
      <c r="B18" t="s">
        <v>105</v>
      </c>
      <c r="C18">
        <v>3</v>
      </c>
      <c r="D18" s="15"/>
      <c r="E18" s="15"/>
      <c r="F18" s="15"/>
      <c r="G18" s="15"/>
      <c r="H18" s="29"/>
      <c r="I18" s="9" t="s">
        <v>131</v>
      </c>
      <c r="J18" s="70">
        <f>C17-1</f>
        <v>2</v>
      </c>
      <c r="K18" s="11">
        <f>J10</f>
        <v>13095.554466662812</v>
      </c>
      <c r="L18" s="11">
        <f t="shared" si="2"/>
        <v>6547.777233331406</v>
      </c>
      <c r="M18" s="10">
        <f>L18/L$20</f>
        <v>3.6748027926444373</v>
      </c>
      <c r="N18" s="10">
        <f>FINV(0.05,J18,J$20)</f>
        <v>3.6337234675916301</v>
      </c>
      <c r="O18" s="10">
        <f>FINV(0.01,J18,J$20)</f>
        <v>6.2262352803113821</v>
      </c>
      <c r="P18" s="9" t="s">
        <v>136</v>
      </c>
      <c r="Q18" s="15"/>
      <c r="R18" s="67"/>
      <c r="X18" s="68" t="s">
        <v>108</v>
      </c>
      <c r="Y18" s="68" t="s">
        <v>111</v>
      </c>
      <c r="Z18" s="68">
        <v>3</v>
      </c>
      <c r="AA18" s="69">
        <v>62.13</v>
      </c>
    </row>
    <row r="19" spans="2:27" ht="15.75" x14ac:dyDescent="0.25">
      <c r="D19" s="15"/>
      <c r="E19" s="15"/>
      <c r="F19" s="15"/>
      <c r="G19" s="15"/>
      <c r="H19" s="29"/>
      <c r="I19" s="9" t="s">
        <v>132</v>
      </c>
      <c r="J19" s="70">
        <f>J17*J18</f>
        <v>4</v>
      </c>
      <c r="K19" s="11">
        <f>J11</f>
        <v>22342.225192946818</v>
      </c>
      <c r="L19" s="11">
        <f t="shared" si="2"/>
        <v>5585.5562982367046</v>
      </c>
      <c r="M19" s="10">
        <f>L19/L$20</f>
        <v>3.1347764518845356</v>
      </c>
      <c r="N19" s="10">
        <f>FINV(0.05,J19,J$20)</f>
        <v>3.0069172799243447</v>
      </c>
      <c r="O19" s="10">
        <f>FINV(0.01,J19,J$20)</f>
        <v>4.772577999723211</v>
      </c>
      <c r="P19" s="9" t="s">
        <v>136</v>
      </c>
      <c r="Q19" s="15"/>
      <c r="R19" s="15"/>
      <c r="X19" s="68" t="s">
        <v>108</v>
      </c>
      <c r="Y19" s="68" t="s">
        <v>112</v>
      </c>
      <c r="Z19" s="68">
        <v>1</v>
      </c>
      <c r="AA19" s="69">
        <v>73.790000000000006</v>
      </c>
    </row>
    <row r="20" spans="2:27" ht="15.75" x14ac:dyDescent="0.25">
      <c r="B20" t="s">
        <v>114</v>
      </c>
      <c r="C20" s="8">
        <f>(F13^2)/(C16*C17*C18)</f>
        <v>196543.52141561272</v>
      </c>
      <c r="D20" s="15"/>
      <c r="E20" s="15"/>
      <c r="F20" s="15"/>
      <c r="G20" s="15"/>
      <c r="H20" s="29"/>
      <c r="I20" s="9" t="s">
        <v>133</v>
      </c>
      <c r="J20" s="70">
        <f>(C18-1)*((C16*C17)-1)</f>
        <v>16</v>
      </c>
      <c r="K20" s="11">
        <f>C24</f>
        <v>28508.859289810382</v>
      </c>
      <c r="L20" s="14">
        <f t="shared" si="2"/>
        <v>1781.8037056131488</v>
      </c>
      <c r="M20" s="24"/>
      <c r="N20" s="24"/>
      <c r="O20" s="24"/>
      <c r="P20" s="24"/>
      <c r="Q20" s="15"/>
      <c r="R20" s="15"/>
      <c r="X20" s="68" t="s">
        <v>108</v>
      </c>
      <c r="Y20" s="68" t="s">
        <v>112</v>
      </c>
      <c r="Z20" s="68">
        <v>2</v>
      </c>
      <c r="AA20" s="69">
        <v>107.33</v>
      </c>
    </row>
    <row r="21" spans="2:27" ht="15.75" x14ac:dyDescent="0.25">
      <c r="B21" t="s">
        <v>115</v>
      </c>
      <c r="C21" s="8">
        <f>(SUMSQ(C4:E12))-C20</f>
        <v>89225.158854902256</v>
      </c>
      <c r="D21" s="15"/>
      <c r="E21" s="15"/>
      <c r="F21" s="15"/>
      <c r="G21" s="15"/>
      <c r="H21" s="29"/>
      <c r="I21" s="9" t="s">
        <v>94</v>
      </c>
      <c r="J21" s="70">
        <f>J15+J16+J20</f>
        <v>26</v>
      </c>
      <c r="K21" s="11">
        <f>C21</f>
        <v>89225.158854902256</v>
      </c>
      <c r="L21" s="62"/>
      <c r="M21" s="24"/>
      <c r="N21" s="24"/>
      <c r="O21" s="24"/>
      <c r="P21" s="24"/>
      <c r="Q21" s="15"/>
      <c r="R21" s="15"/>
      <c r="X21" s="68" t="s">
        <v>108</v>
      </c>
      <c r="Y21" s="68" t="s">
        <v>112</v>
      </c>
      <c r="Z21" s="68">
        <v>3</v>
      </c>
      <c r="AA21" s="69">
        <v>28.55</v>
      </c>
    </row>
    <row r="22" spans="2:27" ht="15.75" x14ac:dyDescent="0.25">
      <c r="B22" t="s">
        <v>116</v>
      </c>
      <c r="C22" s="8">
        <f>(SUMSQ(C13:E13)/(C16*C17))-C20</f>
        <v>1408.4388275436067</v>
      </c>
      <c r="D22" s="15"/>
      <c r="E22" s="15"/>
      <c r="F22" s="15"/>
      <c r="G22" s="15"/>
      <c r="H22" s="29"/>
      <c r="I22" s="15"/>
      <c r="J22" s="15"/>
      <c r="K22" s="15"/>
      <c r="L22" s="15"/>
      <c r="M22" s="15"/>
      <c r="N22" s="15"/>
      <c r="O22" s="15"/>
      <c r="P22" s="15"/>
      <c r="Q22" s="15"/>
      <c r="R22" s="15"/>
      <c r="X22" s="68" t="s">
        <v>109</v>
      </c>
      <c r="Y22" s="68" t="s">
        <v>110</v>
      </c>
      <c r="Z22" s="68">
        <v>1</v>
      </c>
      <c r="AA22" s="69">
        <v>57.47</v>
      </c>
    </row>
    <row r="23" spans="2:27" ht="15.75" x14ac:dyDescent="0.25">
      <c r="B23" t="s">
        <v>117</v>
      </c>
      <c r="C23" s="8">
        <f>(SUMSQ(F4:F12)/C18)-C20</f>
        <v>59307.860737548268</v>
      </c>
      <c r="D23" s="15"/>
      <c r="E23" s="15"/>
      <c r="F23" s="15" t="s">
        <v>197</v>
      </c>
      <c r="G23" s="15"/>
      <c r="H23" s="29"/>
      <c r="I23" s="60" t="s">
        <v>151</v>
      </c>
      <c r="J23" s="61"/>
      <c r="K23" s="61"/>
      <c r="L23" s="61"/>
      <c r="M23" s="61"/>
      <c r="N23" s="15"/>
      <c r="O23" s="15"/>
      <c r="P23" s="15"/>
      <c r="Q23" s="15"/>
      <c r="R23" s="15"/>
      <c r="X23" s="68" t="s">
        <v>109</v>
      </c>
      <c r="Y23" s="68" t="s">
        <v>110</v>
      </c>
      <c r="Z23" s="68">
        <v>2</v>
      </c>
      <c r="AA23" s="69">
        <v>40.729999999999997</v>
      </c>
    </row>
    <row r="24" spans="2:27" ht="15.75" x14ac:dyDescent="0.25">
      <c r="B24" t="s">
        <v>118</v>
      </c>
      <c r="C24" s="8">
        <f>C21-C22-C23</f>
        <v>28508.859289810382</v>
      </c>
      <c r="D24" s="15"/>
      <c r="E24" s="15"/>
      <c r="F24" s="15"/>
      <c r="G24" s="15"/>
      <c r="H24" s="29"/>
      <c r="I24" s="64" t="s">
        <v>159</v>
      </c>
      <c r="J24" s="192" t="s">
        <v>196</v>
      </c>
      <c r="K24" s="192"/>
      <c r="L24" s="192"/>
      <c r="M24" s="192"/>
      <c r="N24" s="15"/>
      <c r="O24" s="15"/>
      <c r="P24" s="15"/>
      <c r="Q24" s="15"/>
      <c r="R24" s="15"/>
      <c r="X24" s="68" t="s">
        <v>109</v>
      </c>
      <c r="Y24" s="68" t="s">
        <v>110</v>
      </c>
      <c r="Z24" s="68">
        <v>3</v>
      </c>
      <c r="AA24" s="69">
        <v>78.58</v>
      </c>
    </row>
    <row r="25" spans="2:27" ht="14.25" customHeight="1" x14ac:dyDescent="0.25">
      <c r="C25" s="4"/>
      <c r="H25" s="29"/>
      <c r="I25" s="61"/>
      <c r="J25" s="192" t="s">
        <v>202</v>
      </c>
      <c r="K25" s="192"/>
      <c r="L25" s="192"/>
      <c r="M25" s="192"/>
      <c r="N25" s="15"/>
      <c r="O25" s="15"/>
      <c r="P25" s="15"/>
      <c r="Q25" s="15"/>
      <c r="R25" s="15"/>
      <c r="X25" s="68" t="s">
        <v>109</v>
      </c>
      <c r="Y25" s="68" t="s">
        <v>111</v>
      </c>
      <c r="Z25" s="68">
        <v>1</v>
      </c>
      <c r="AA25" s="69">
        <v>87.83</v>
      </c>
    </row>
    <row r="26" spans="2:27" ht="15.75" x14ac:dyDescent="0.25">
      <c r="H26" s="15"/>
      <c r="I26" s="61"/>
      <c r="J26" s="64">
        <v>5.03</v>
      </c>
      <c r="K26" s="64" t="s">
        <v>152</v>
      </c>
      <c r="L26" s="64">
        <f>SQRT(L20/3)</f>
        <v>24.370772834231502</v>
      </c>
      <c r="M26" s="61"/>
      <c r="N26" s="15"/>
      <c r="O26" s="15"/>
      <c r="P26" s="15"/>
      <c r="Q26" s="15"/>
      <c r="R26" s="15"/>
      <c r="X26" s="68" t="s">
        <v>109</v>
      </c>
      <c r="Y26" s="68" t="s">
        <v>111</v>
      </c>
      <c r="Z26" s="68">
        <v>2</v>
      </c>
      <c r="AA26" s="69">
        <v>58.34</v>
      </c>
    </row>
    <row r="27" spans="2:27" ht="15.75" x14ac:dyDescent="0.25">
      <c r="H27" s="15"/>
      <c r="I27" s="61"/>
      <c r="J27" s="65">
        <f>J26*L26</f>
        <v>122.58498735618446</v>
      </c>
      <c r="L27" s="61"/>
      <c r="M27" s="61"/>
      <c r="N27" s="15"/>
      <c r="O27" s="15"/>
      <c r="P27" s="15"/>
      <c r="Q27" s="15"/>
      <c r="R27" s="15"/>
      <c r="X27" s="68" t="s">
        <v>109</v>
      </c>
      <c r="Y27" s="68" t="s">
        <v>111</v>
      </c>
      <c r="Z27" s="68">
        <v>3</v>
      </c>
      <c r="AA27" s="69">
        <v>40.200000000000003</v>
      </c>
    </row>
    <row r="28" spans="2:27" ht="15.75" x14ac:dyDescent="0.25">
      <c r="H28" s="15"/>
      <c r="N28" s="15"/>
      <c r="O28" s="15"/>
      <c r="P28" s="15"/>
      <c r="Q28" s="15"/>
      <c r="R28" s="15"/>
      <c r="X28" s="68" t="s">
        <v>109</v>
      </c>
      <c r="Y28" s="68" t="s">
        <v>112</v>
      </c>
      <c r="Z28" s="68">
        <v>1</v>
      </c>
      <c r="AA28" s="69">
        <v>91.85</v>
      </c>
    </row>
    <row r="29" spans="2:27" ht="15.75" x14ac:dyDescent="0.25">
      <c r="H29" s="15"/>
      <c r="I29" s="64" t="s">
        <v>154</v>
      </c>
      <c r="J29" s="61"/>
      <c r="K29" s="61"/>
      <c r="L29" s="61"/>
      <c r="M29" s="61"/>
      <c r="N29" s="15"/>
      <c r="O29" s="15"/>
      <c r="P29" s="15"/>
      <c r="Q29" s="15"/>
      <c r="R29" s="15"/>
      <c r="X29" s="68" t="s">
        <v>109</v>
      </c>
      <c r="Y29" s="68" t="s">
        <v>112</v>
      </c>
      <c r="Z29" s="68">
        <v>2</v>
      </c>
      <c r="AA29" s="69">
        <v>29</v>
      </c>
    </row>
    <row r="30" spans="2:27" ht="15.75" x14ac:dyDescent="0.25">
      <c r="H30" s="15"/>
      <c r="I30" s="192" t="s">
        <v>155</v>
      </c>
      <c r="J30" s="192"/>
      <c r="K30" s="192"/>
      <c r="L30" s="192"/>
      <c r="M30" s="192"/>
      <c r="N30" s="15"/>
      <c r="O30" s="15"/>
      <c r="P30" s="15"/>
      <c r="Q30" s="15"/>
      <c r="R30" s="15"/>
      <c r="X30" s="68" t="s">
        <v>109</v>
      </c>
      <c r="Y30" s="68" t="s">
        <v>112</v>
      </c>
      <c r="Z30" s="68">
        <v>3</v>
      </c>
      <c r="AA30" s="69">
        <v>68.31</v>
      </c>
    </row>
    <row r="31" spans="2:27" ht="15.75" x14ac:dyDescent="0.25">
      <c r="H31" s="15"/>
      <c r="I31" s="192" t="s">
        <v>156</v>
      </c>
      <c r="J31" s="192"/>
      <c r="K31" s="192"/>
      <c r="L31" s="192"/>
      <c r="M31" s="192"/>
      <c r="N31" s="15"/>
      <c r="O31" s="15"/>
      <c r="P31" s="15"/>
      <c r="Q31" s="15"/>
      <c r="R31" s="15"/>
    </row>
    <row r="32" spans="2:27" x14ac:dyDescent="0.25">
      <c r="H32" s="15"/>
      <c r="I32" s="63" t="s">
        <v>157</v>
      </c>
      <c r="N32" s="15"/>
      <c r="O32" s="15"/>
      <c r="P32" s="15"/>
      <c r="Q32" s="15"/>
      <c r="R32" s="15"/>
    </row>
    <row r="33" spans="8:25" x14ac:dyDescent="0.25">
      <c r="H33" s="15"/>
      <c r="N33" s="15"/>
      <c r="O33" s="42"/>
      <c r="P33" s="15"/>
      <c r="Q33" s="15"/>
      <c r="R33" s="15"/>
    </row>
    <row r="34" spans="8:25" ht="15.75" thickBot="1" x14ac:dyDescent="0.3">
      <c r="H34" s="15"/>
      <c r="I34" s="1" t="s">
        <v>158</v>
      </c>
      <c r="N34" s="15"/>
      <c r="O34" s="15"/>
      <c r="P34" s="15"/>
      <c r="Q34" s="15"/>
      <c r="R34" s="15"/>
    </row>
    <row r="35" spans="8:25" ht="15.75" thickBot="1" x14ac:dyDescent="0.3">
      <c r="H35" s="15"/>
      <c r="I35" s="75" t="s">
        <v>93</v>
      </c>
      <c r="J35" s="46" t="s">
        <v>141</v>
      </c>
      <c r="K35" s="114" t="s">
        <v>161</v>
      </c>
      <c r="L35" s="82" t="s">
        <v>128</v>
      </c>
      <c r="N35" s="15"/>
      <c r="O35" s="29"/>
      <c r="P35" s="83"/>
      <c r="Q35" s="83"/>
      <c r="R35" s="83"/>
      <c r="S35" s="83"/>
      <c r="T35" s="83"/>
      <c r="U35" s="83"/>
      <c r="V35" s="83"/>
      <c r="W35" s="83"/>
      <c r="X35" s="83"/>
      <c r="Y35" s="27"/>
    </row>
    <row r="36" spans="8:25" x14ac:dyDescent="0.25">
      <c r="H36" s="15"/>
      <c r="I36" s="35" t="s">
        <v>96</v>
      </c>
      <c r="J36" s="47">
        <v>44.387679930106536</v>
      </c>
      <c r="K36" s="42">
        <f t="shared" ref="K36:K43" si="3">J36+J$45</f>
        <v>166.972667286291</v>
      </c>
      <c r="L36" s="40" t="s">
        <v>144</v>
      </c>
      <c r="O36" s="83"/>
      <c r="P36" s="83"/>
      <c r="Q36" s="27"/>
      <c r="R36" s="27"/>
      <c r="S36" s="27"/>
      <c r="T36" s="27"/>
      <c r="U36" s="27"/>
      <c r="V36" s="27"/>
      <c r="W36" s="27"/>
      <c r="X36" s="27"/>
      <c r="Y36" s="27"/>
    </row>
    <row r="37" spans="8:25" x14ac:dyDescent="0.25">
      <c r="H37" s="15"/>
      <c r="I37" s="37" t="s">
        <v>102</v>
      </c>
      <c r="J37" s="47">
        <v>58.925465105688005</v>
      </c>
      <c r="K37" s="42">
        <f t="shared" si="3"/>
        <v>181.51045246187246</v>
      </c>
      <c r="L37" s="77" t="s">
        <v>144</v>
      </c>
      <c r="N37" s="8"/>
      <c r="O37" s="83"/>
      <c r="P37" s="83"/>
      <c r="Q37" s="83"/>
      <c r="R37" s="27"/>
      <c r="S37" s="27"/>
      <c r="T37" s="27"/>
      <c r="U37" s="27"/>
      <c r="V37" s="27"/>
      <c r="W37" s="27"/>
      <c r="X37" s="27"/>
      <c r="Y37" s="27"/>
    </row>
    <row r="38" spans="8:25" x14ac:dyDescent="0.25">
      <c r="H38" s="15"/>
      <c r="I38" s="37" t="s">
        <v>103</v>
      </c>
      <c r="J38" s="47">
        <v>62.124857536415568</v>
      </c>
      <c r="K38" s="42">
        <f t="shared" si="3"/>
        <v>184.70984489260002</v>
      </c>
      <c r="L38" s="40" t="s">
        <v>144</v>
      </c>
      <c r="N38" s="8"/>
      <c r="O38" s="83"/>
      <c r="P38" s="83"/>
      <c r="Q38" s="83"/>
      <c r="R38" s="83"/>
      <c r="S38" s="27"/>
      <c r="T38" s="27"/>
      <c r="U38" s="27"/>
      <c r="V38" s="27"/>
      <c r="W38" s="27"/>
      <c r="X38" s="27"/>
      <c r="Y38" s="27"/>
    </row>
    <row r="39" spans="8:25" x14ac:dyDescent="0.25">
      <c r="H39" s="15"/>
      <c r="I39" s="37" t="s">
        <v>104</v>
      </c>
      <c r="J39" s="47">
        <v>63.049336952057274</v>
      </c>
      <c r="K39" s="42">
        <f t="shared" si="3"/>
        <v>185.63432430824173</v>
      </c>
      <c r="L39" s="77" t="s">
        <v>144</v>
      </c>
      <c r="N39" s="8"/>
      <c r="O39" s="83"/>
      <c r="P39" s="83"/>
      <c r="Q39" s="83"/>
      <c r="R39" s="83"/>
      <c r="S39" s="83"/>
      <c r="T39" s="27"/>
      <c r="U39" s="27"/>
      <c r="V39" s="27"/>
      <c r="W39" s="27"/>
      <c r="X39" s="27"/>
      <c r="Y39" s="27"/>
    </row>
    <row r="40" spans="8:25" x14ac:dyDescent="0.25">
      <c r="H40" s="15"/>
      <c r="I40" s="37" t="s">
        <v>99</v>
      </c>
      <c r="J40" s="47">
        <v>65.645438216588488</v>
      </c>
      <c r="K40" s="42">
        <f t="shared" si="3"/>
        <v>188.23042557277296</v>
      </c>
      <c r="L40" s="77" t="s">
        <v>144</v>
      </c>
      <c r="N40" s="8"/>
      <c r="O40" s="83"/>
      <c r="P40" s="83"/>
      <c r="Q40" s="83"/>
      <c r="R40" s="83"/>
      <c r="S40" s="83"/>
      <c r="T40" s="83"/>
      <c r="U40" s="27"/>
      <c r="V40" s="27"/>
      <c r="W40" s="27"/>
      <c r="X40" s="27"/>
      <c r="Y40" s="27"/>
    </row>
    <row r="41" spans="8:25" x14ac:dyDescent="0.25">
      <c r="H41" s="15"/>
      <c r="I41" s="37" t="s">
        <v>100</v>
      </c>
      <c r="J41" s="47">
        <v>66.559482220275171</v>
      </c>
      <c r="K41" s="42">
        <f t="shared" si="3"/>
        <v>189.14446957645964</v>
      </c>
      <c r="L41" s="77" t="s">
        <v>144</v>
      </c>
      <c r="N41" s="8"/>
      <c r="O41" s="83"/>
      <c r="P41" s="83"/>
      <c r="Q41" s="83"/>
      <c r="R41" s="83"/>
      <c r="S41" s="83"/>
      <c r="T41" s="83"/>
      <c r="U41" s="83"/>
      <c r="V41" s="27"/>
      <c r="W41" s="27"/>
      <c r="X41" s="27"/>
      <c r="Y41" s="27"/>
    </row>
    <row r="42" spans="8:25" x14ac:dyDescent="0.25">
      <c r="H42" s="15"/>
      <c r="I42" s="37" t="s">
        <v>101</v>
      </c>
      <c r="J42" s="47">
        <v>69.891839265924162</v>
      </c>
      <c r="K42" s="42">
        <f t="shared" si="3"/>
        <v>192.4768266221086</v>
      </c>
      <c r="L42" s="77" t="s">
        <v>144</v>
      </c>
      <c r="O42" s="83"/>
      <c r="P42" s="83"/>
      <c r="Q42" s="83"/>
      <c r="R42" s="83"/>
      <c r="S42" s="83"/>
      <c r="T42" s="83"/>
      <c r="U42" s="83"/>
      <c r="V42" s="83"/>
      <c r="W42" s="27"/>
      <c r="X42" s="27"/>
      <c r="Y42" s="27"/>
    </row>
    <row r="43" spans="8:25" x14ac:dyDescent="0.25">
      <c r="I43" s="37" t="s">
        <v>97</v>
      </c>
      <c r="J43" s="47">
        <v>141.25897659785292</v>
      </c>
      <c r="K43" s="42">
        <f t="shared" si="3"/>
        <v>263.84396395403735</v>
      </c>
      <c r="L43" s="77" t="s">
        <v>162</v>
      </c>
      <c r="O43" s="83"/>
      <c r="P43" s="83"/>
      <c r="Q43" s="83"/>
      <c r="R43" s="83"/>
      <c r="S43" s="83"/>
      <c r="T43" s="83"/>
      <c r="U43" s="83"/>
      <c r="V43" s="83"/>
      <c r="W43" s="83"/>
      <c r="X43" s="27"/>
      <c r="Y43" s="27"/>
    </row>
    <row r="44" spans="8:25" ht="15.75" thickBot="1" x14ac:dyDescent="0.3">
      <c r="I44" s="43" t="s">
        <v>98</v>
      </c>
      <c r="J44" s="78">
        <v>196.03097911303416</v>
      </c>
      <c r="K44" s="79"/>
      <c r="L44" s="80" t="s">
        <v>145</v>
      </c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27"/>
    </row>
    <row r="45" spans="8:25" ht="15.75" thickBot="1" x14ac:dyDescent="0.3">
      <c r="I45" s="93" t="s">
        <v>176</v>
      </c>
      <c r="J45" s="189">
        <f>J27</f>
        <v>122.58498735618446</v>
      </c>
      <c r="K45" s="190"/>
      <c r="L45" s="191"/>
      <c r="M45" s="66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8:25" x14ac:dyDescent="0.25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53" spans="9:16" ht="15.75" x14ac:dyDescent="0.25">
      <c r="I53" s="188" t="s">
        <v>93</v>
      </c>
      <c r="J53" s="188"/>
      <c r="K53" s="188"/>
      <c r="L53" s="188"/>
      <c r="M53" s="188"/>
      <c r="N53" s="84" t="s">
        <v>141</v>
      </c>
      <c r="O53" s="84" t="s">
        <v>168</v>
      </c>
      <c r="P53" s="84" t="s">
        <v>128</v>
      </c>
    </row>
    <row r="54" spans="9:16" ht="15.75" x14ac:dyDescent="0.25">
      <c r="I54" s="179" t="s">
        <v>169</v>
      </c>
      <c r="J54" s="179"/>
      <c r="K54" s="179"/>
      <c r="L54" s="179"/>
      <c r="M54" s="179"/>
      <c r="N54" s="85">
        <v>44.387679930106536</v>
      </c>
      <c r="O54" s="86">
        <v>133.1630397903196</v>
      </c>
      <c r="P54" s="87" t="s">
        <v>144</v>
      </c>
    </row>
    <row r="55" spans="9:16" ht="15.75" x14ac:dyDescent="0.25">
      <c r="I55" s="175" t="s">
        <v>170</v>
      </c>
      <c r="J55" s="175"/>
      <c r="K55" s="175"/>
      <c r="L55" s="175"/>
      <c r="M55" s="175"/>
      <c r="N55" s="85">
        <v>141.25897659785292</v>
      </c>
      <c r="O55" s="86">
        <v>423.77692979355874</v>
      </c>
      <c r="P55" s="87" t="s">
        <v>162</v>
      </c>
    </row>
    <row r="56" spans="9:16" ht="15.75" x14ac:dyDescent="0.25">
      <c r="I56" s="175" t="s">
        <v>171</v>
      </c>
      <c r="J56" s="175"/>
      <c r="K56" s="175"/>
      <c r="L56" s="175"/>
      <c r="M56" s="175"/>
      <c r="N56" s="85">
        <v>196.03097911303416</v>
      </c>
      <c r="O56" s="86">
        <v>588.09293733910249</v>
      </c>
      <c r="P56" s="87" t="s">
        <v>145</v>
      </c>
    </row>
    <row r="57" spans="9:16" ht="15.75" x14ac:dyDescent="0.25">
      <c r="I57" s="175" t="s">
        <v>172</v>
      </c>
      <c r="J57" s="175"/>
      <c r="K57" s="175"/>
      <c r="L57" s="175"/>
      <c r="M57" s="175"/>
      <c r="N57" s="85">
        <v>65.645438216588488</v>
      </c>
      <c r="O57" s="86">
        <v>196.93631464976545</v>
      </c>
      <c r="P57" s="87" t="s">
        <v>144</v>
      </c>
    </row>
    <row r="58" spans="9:16" ht="15.75" x14ac:dyDescent="0.25">
      <c r="I58" s="175" t="s">
        <v>173</v>
      </c>
      <c r="J58" s="175"/>
      <c r="K58" s="175"/>
      <c r="L58" s="175"/>
      <c r="M58" s="175"/>
      <c r="N58" s="85">
        <v>66.559482220275171</v>
      </c>
      <c r="O58" s="86">
        <v>199.6784466608255</v>
      </c>
      <c r="P58" s="87" t="s">
        <v>144</v>
      </c>
    </row>
    <row r="59" spans="9:16" ht="15.75" x14ac:dyDescent="0.25">
      <c r="I59" s="175" t="s">
        <v>174</v>
      </c>
      <c r="J59" s="175"/>
      <c r="K59" s="175"/>
      <c r="L59" s="175"/>
      <c r="M59" s="175"/>
      <c r="N59" s="85">
        <v>69.891839265924162</v>
      </c>
      <c r="O59" s="86">
        <v>209.6755177977725</v>
      </c>
      <c r="P59" s="87" t="s">
        <v>144</v>
      </c>
    </row>
    <row r="60" spans="9:16" ht="15.75" x14ac:dyDescent="0.25">
      <c r="I60" s="175" t="s">
        <v>210</v>
      </c>
      <c r="J60" s="175"/>
      <c r="K60" s="175"/>
      <c r="L60" s="175"/>
      <c r="M60" s="175"/>
      <c r="N60" s="85">
        <v>58.925465105688005</v>
      </c>
      <c r="O60" s="86">
        <v>176.77639531706401</v>
      </c>
      <c r="P60" s="87" t="s">
        <v>144</v>
      </c>
    </row>
    <row r="61" spans="9:16" ht="15.75" x14ac:dyDescent="0.25">
      <c r="I61" s="175" t="s">
        <v>208</v>
      </c>
      <c r="J61" s="175"/>
      <c r="K61" s="175"/>
      <c r="L61" s="175"/>
      <c r="M61" s="175"/>
      <c r="N61" s="85">
        <v>62.124857536415568</v>
      </c>
      <c r="O61" s="86">
        <v>186.37457260924671</v>
      </c>
      <c r="P61" s="87" t="s">
        <v>144</v>
      </c>
    </row>
    <row r="62" spans="9:16" ht="15.75" x14ac:dyDescent="0.25">
      <c r="I62" s="177" t="s">
        <v>209</v>
      </c>
      <c r="J62" s="177"/>
      <c r="K62" s="177"/>
      <c r="L62" s="177"/>
      <c r="M62" s="177"/>
      <c r="N62" s="85">
        <v>63.049336952057274</v>
      </c>
      <c r="O62" s="86">
        <v>189.14801085617182</v>
      </c>
      <c r="P62" s="87" t="s">
        <v>144</v>
      </c>
    </row>
    <row r="63" spans="9:16" ht="15.75" x14ac:dyDescent="0.25">
      <c r="I63" s="178" t="s">
        <v>176</v>
      </c>
      <c r="J63" s="178"/>
      <c r="K63" s="178"/>
      <c r="L63" s="178"/>
      <c r="M63" s="178"/>
      <c r="N63" s="174">
        <f>J45</f>
        <v>122.58498735618446</v>
      </c>
      <c r="O63" s="174"/>
      <c r="P63" s="174"/>
    </row>
  </sheetData>
  <sortState xmlns:xlrd2="http://schemas.microsoft.com/office/spreadsheetml/2017/richdata2" ref="I36:L44">
    <sortCondition ref="J36:J44"/>
  </sortState>
  <mergeCells count="22">
    <mergeCell ref="I54:M54"/>
    <mergeCell ref="X1:AA1"/>
    <mergeCell ref="B2:B3"/>
    <mergeCell ref="C2:E2"/>
    <mergeCell ref="F2:F3"/>
    <mergeCell ref="G2:G3"/>
    <mergeCell ref="J24:M24"/>
    <mergeCell ref="J25:M25"/>
    <mergeCell ref="I30:M30"/>
    <mergeCell ref="I31:M31"/>
    <mergeCell ref="J45:L45"/>
    <mergeCell ref="I53:M53"/>
    <mergeCell ref="I61:M61"/>
    <mergeCell ref="I62:M62"/>
    <mergeCell ref="I63:M63"/>
    <mergeCell ref="N63:P63"/>
    <mergeCell ref="I55:M55"/>
    <mergeCell ref="I56:M56"/>
    <mergeCell ref="I57:M57"/>
    <mergeCell ref="I58:M58"/>
    <mergeCell ref="I59:M59"/>
    <mergeCell ref="I60:M6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C914B-67CA-46A3-B9B9-D3079D706702}">
  <dimension ref="A1:AR116"/>
  <sheetViews>
    <sheetView zoomScale="80" zoomScaleNormal="80" workbookViewId="0">
      <selection activeCell="F23" sqref="F23"/>
    </sheetView>
  </sheetViews>
  <sheetFormatPr defaultRowHeight="15" x14ac:dyDescent="0.25"/>
  <cols>
    <col min="1" max="1" width="12.28515625" bestFit="1" customWidth="1"/>
    <col min="2" max="2" width="12.5703125" bestFit="1" customWidth="1"/>
    <col min="3" max="3" width="10.7109375" bestFit="1" customWidth="1"/>
    <col min="4" max="4" width="12.28515625" bestFit="1" customWidth="1"/>
    <col min="5" max="5" width="24.140625" bestFit="1" customWidth="1"/>
    <col min="14" max="14" width="12.5703125" bestFit="1" customWidth="1"/>
    <col min="15" max="15" width="12.7109375" bestFit="1" customWidth="1"/>
    <col min="16" max="16" width="10.140625" bestFit="1" customWidth="1"/>
    <col min="17" max="17" width="12.7109375" bestFit="1" customWidth="1"/>
    <col min="18" max="18" width="25" bestFit="1" customWidth="1"/>
    <col min="27" max="27" width="12.5703125" bestFit="1" customWidth="1"/>
    <col min="28" max="28" width="12.7109375" bestFit="1" customWidth="1"/>
    <col min="29" max="29" width="10.140625" bestFit="1" customWidth="1"/>
    <col min="30" max="30" width="12.7109375" bestFit="1" customWidth="1"/>
    <col min="31" max="31" width="25" bestFit="1" customWidth="1"/>
    <col min="40" max="40" width="12.5703125" bestFit="1" customWidth="1"/>
    <col min="41" max="41" width="12.7109375" bestFit="1" customWidth="1"/>
    <col min="42" max="42" width="10.140625" bestFit="1" customWidth="1"/>
    <col min="43" max="43" width="12.7109375" bestFit="1" customWidth="1"/>
    <col min="44" max="44" width="22.140625" bestFit="1" customWidth="1"/>
    <col min="48" max="48" width="14.85546875" bestFit="1" customWidth="1"/>
    <col min="49" max="49" width="10.85546875" bestFit="1" customWidth="1"/>
    <col min="50" max="50" width="10.28515625" bestFit="1" customWidth="1"/>
    <col min="52" max="52" width="8.42578125" bestFit="1" customWidth="1"/>
    <col min="53" max="54" width="10.140625" bestFit="1" customWidth="1"/>
  </cols>
  <sheetData>
    <row r="1" spans="1:44" x14ac:dyDescent="0.25">
      <c r="A1" s="3" t="s">
        <v>29</v>
      </c>
      <c r="B1" s="3" t="s">
        <v>0</v>
      </c>
      <c r="N1" s="3" t="s">
        <v>46</v>
      </c>
      <c r="O1" s="3" t="s">
        <v>9</v>
      </c>
      <c r="AA1" s="3" t="s">
        <v>57</v>
      </c>
      <c r="AB1" s="3" t="s">
        <v>17</v>
      </c>
      <c r="AN1" s="3" t="s">
        <v>64</v>
      </c>
      <c r="AO1" s="12"/>
    </row>
    <row r="2" spans="1:44" x14ac:dyDescent="0.25">
      <c r="A2" s="1" t="s">
        <v>34</v>
      </c>
      <c r="B2" s="1">
        <v>0.60699999999999998</v>
      </c>
      <c r="N2" s="1" t="s">
        <v>34</v>
      </c>
      <c r="O2" s="1">
        <v>0.60699999999999998</v>
      </c>
      <c r="AA2" s="1" t="s">
        <v>34</v>
      </c>
      <c r="AB2" s="1">
        <v>0.60699999999999998</v>
      </c>
      <c r="AN2" s="1" t="s">
        <v>34</v>
      </c>
      <c r="AO2" s="1">
        <v>0.60699999999999998</v>
      </c>
    </row>
    <row r="3" spans="1:44" x14ac:dyDescent="0.25">
      <c r="B3" s="9" t="s">
        <v>30</v>
      </c>
      <c r="C3" s="9" t="s">
        <v>31</v>
      </c>
      <c r="D3" s="9" t="s">
        <v>33</v>
      </c>
      <c r="E3" s="9" t="s">
        <v>32</v>
      </c>
      <c r="O3" s="9" t="s">
        <v>30</v>
      </c>
      <c r="P3" s="9" t="s">
        <v>31</v>
      </c>
      <c r="Q3" s="9" t="s">
        <v>33</v>
      </c>
      <c r="R3" s="9" t="s">
        <v>32</v>
      </c>
      <c r="AB3" s="9" t="s">
        <v>30</v>
      </c>
      <c r="AC3" s="9" t="s">
        <v>31</v>
      </c>
      <c r="AD3" s="9" t="s">
        <v>33</v>
      </c>
      <c r="AE3" s="9" t="s">
        <v>32</v>
      </c>
      <c r="AO3" s="9" t="s">
        <v>30</v>
      </c>
      <c r="AP3" s="9" t="s">
        <v>31</v>
      </c>
      <c r="AQ3" s="9" t="s">
        <v>33</v>
      </c>
      <c r="AR3" s="9" t="s">
        <v>32</v>
      </c>
    </row>
    <row r="4" spans="1:44" x14ac:dyDescent="0.25">
      <c r="B4" s="9">
        <v>5</v>
      </c>
      <c r="C4" s="11">
        <f>((E4*100)/B$2)</f>
        <v>36.079077429983521</v>
      </c>
      <c r="D4" s="10">
        <v>0.38800000000000001</v>
      </c>
      <c r="E4" s="10">
        <f>(B$2-D4)</f>
        <v>0.21899999999999997</v>
      </c>
      <c r="O4" s="9">
        <v>5</v>
      </c>
      <c r="P4" s="11">
        <f>((R4*100)/O$2)</f>
        <v>37.891268533772653</v>
      </c>
      <c r="Q4" s="10">
        <v>0.377</v>
      </c>
      <c r="R4" s="10">
        <f>(O$2-Q4)</f>
        <v>0.22999999999999998</v>
      </c>
      <c r="AB4" s="9">
        <v>5</v>
      </c>
      <c r="AC4" s="11">
        <f>((AE4*100)/AB$2)</f>
        <v>37.2322899505766</v>
      </c>
      <c r="AD4" s="9">
        <v>0.38100000000000001</v>
      </c>
      <c r="AE4" s="10">
        <f>(AB$2-AD4)</f>
        <v>0.22599999999999998</v>
      </c>
      <c r="AO4" s="9">
        <v>5</v>
      </c>
      <c r="AP4" s="11">
        <f>((AR4*100)/AO$2)</f>
        <v>20.428336079077432</v>
      </c>
      <c r="AQ4" s="9">
        <v>0.48299999999999998</v>
      </c>
      <c r="AR4" s="10">
        <f>(AO$2-AQ4)</f>
        <v>0.124</v>
      </c>
    </row>
    <row r="5" spans="1:44" x14ac:dyDescent="0.25">
      <c r="B5" s="9">
        <v>10</v>
      </c>
      <c r="C5" s="134">
        <f>((E5*100)/B$2)</f>
        <v>40.032948929159808</v>
      </c>
      <c r="D5" s="10">
        <v>0.36399999999999999</v>
      </c>
      <c r="E5" s="10">
        <f>(B$2-D5)</f>
        <v>0.24299999999999999</v>
      </c>
      <c r="O5" s="9">
        <v>10</v>
      </c>
      <c r="P5" s="11">
        <f>((R5*100)/O$2)</f>
        <v>40.362438220757824</v>
      </c>
      <c r="Q5" s="10">
        <v>0.36199999999999999</v>
      </c>
      <c r="R5" s="10">
        <f>(O$2-Q5)</f>
        <v>0.245</v>
      </c>
      <c r="AB5" s="9">
        <v>10</v>
      </c>
      <c r="AC5" s="11">
        <f>((AE5*100)/AB$2)</f>
        <v>38.220757825370676</v>
      </c>
      <c r="AD5" s="9">
        <v>0.375</v>
      </c>
      <c r="AE5" s="10">
        <f>(AB$2-AD5)</f>
        <v>0.23199999999999998</v>
      </c>
      <c r="AO5" s="9">
        <v>10</v>
      </c>
      <c r="AP5" s="11">
        <f>((AR5*100)/AO$2)</f>
        <v>27.018121911037891</v>
      </c>
      <c r="AQ5" s="9">
        <v>0.443</v>
      </c>
      <c r="AR5" s="10">
        <f>(AO$2-AQ5)</f>
        <v>0.16399999999999998</v>
      </c>
    </row>
    <row r="6" spans="1:44" x14ac:dyDescent="0.25">
      <c r="B6" s="9">
        <v>15</v>
      </c>
      <c r="C6" s="11">
        <f>((E6*100)/B$2)</f>
        <v>41.515650741350903</v>
      </c>
      <c r="D6" s="10">
        <v>0.35499999999999998</v>
      </c>
      <c r="E6" s="10">
        <f>(B$2-D6)</f>
        <v>0.252</v>
      </c>
      <c r="O6" s="9">
        <v>15</v>
      </c>
      <c r="P6" s="11">
        <f>((R6*100)/O$2)</f>
        <v>41.186161449752888</v>
      </c>
      <c r="Q6" s="10">
        <v>0.35699999999999998</v>
      </c>
      <c r="R6" s="10">
        <f>(O$2-Q6)</f>
        <v>0.25</v>
      </c>
      <c r="AB6" s="9">
        <v>15</v>
      </c>
      <c r="AC6" s="11">
        <f>((AE6*100)/AB$2)</f>
        <v>38.879736408566721</v>
      </c>
      <c r="AD6" s="9">
        <v>0.371</v>
      </c>
      <c r="AE6" s="10">
        <f>(AB$2-AD6)</f>
        <v>0.23599999999999999</v>
      </c>
      <c r="AO6" s="9">
        <v>15</v>
      </c>
      <c r="AP6" s="11">
        <f>((AR6*100)/AO$2)</f>
        <v>27.841845140032948</v>
      </c>
      <c r="AQ6" s="9">
        <v>0.438</v>
      </c>
      <c r="AR6" s="10">
        <f>(AO$2-AQ6)</f>
        <v>0.16899999999999998</v>
      </c>
    </row>
    <row r="7" spans="1:44" x14ac:dyDescent="0.25">
      <c r="B7" s="9">
        <v>20</v>
      </c>
      <c r="C7" s="11">
        <f>((E7*100)/B$2)</f>
        <v>42.009884678747945</v>
      </c>
      <c r="D7" s="10">
        <v>0.35199999999999998</v>
      </c>
      <c r="E7" s="10">
        <f>(B$2-D7)</f>
        <v>0.255</v>
      </c>
      <c r="O7" s="9">
        <v>20</v>
      </c>
      <c r="P7" s="11">
        <f>((R7*100)/O$2)</f>
        <v>42.504118616144979</v>
      </c>
      <c r="Q7" s="10">
        <v>0.34899999999999998</v>
      </c>
      <c r="R7" s="10">
        <f>(O$2-Q7)</f>
        <v>0.25800000000000001</v>
      </c>
      <c r="AB7" s="9">
        <v>20</v>
      </c>
      <c r="AC7" s="11">
        <f>((AE7*100)/AB$2)</f>
        <v>41.350906095551899</v>
      </c>
      <c r="AD7" s="9">
        <v>0.35599999999999998</v>
      </c>
      <c r="AE7" s="10">
        <f>(AB$2-AD7)</f>
        <v>0.251</v>
      </c>
      <c r="AO7" s="9">
        <v>20</v>
      </c>
      <c r="AP7" s="11">
        <f>((AR7*100)/AO$2)</f>
        <v>30.807248764415156</v>
      </c>
      <c r="AQ7" s="10">
        <v>0.42</v>
      </c>
      <c r="AR7" s="10">
        <f>(AO$2-AQ7)</f>
        <v>0.187</v>
      </c>
    </row>
    <row r="8" spans="1:44" x14ac:dyDescent="0.25">
      <c r="B8" s="9">
        <v>25</v>
      </c>
      <c r="C8" s="11">
        <f>((E8*100)/B$2)</f>
        <v>42.998352553542013</v>
      </c>
      <c r="D8" s="10">
        <v>0.34599999999999997</v>
      </c>
      <c r="E8" s="10">
        <f>(B$2-D8)</f>
        <v>0.26100000000000001</v>
      </c>
      <c r="O8" s="9">
        <v>25</v>
      </c>
      <c r="P8" s="11">
        <f>((R8*100)/O$2)</f>
        <v>45.304777594728165</v>
      </c>
      <c r="Q8" s="10">
        <v>0.33200000000000002</v>
      </c>
      <c r="R8" s="10">
        <f>(O$2-Q8)</f>
        <v>0.27499999999999997</v>
      </c>
      <c r="AB8" s="9">
        <v>25</v>
      </c>
      <c r="AC8" s="11">
        <f>((AE8*100)/AB$2)</f>
        <v>41.845140032948926</v>
      </c>
      <c r="AD8" s="9">
        <v>0.35299999999999998</v>
      </c>
      <c r="AE8" s="10">
        <f>(AB$2-AD8)</f>
        <v>0.254</v>
      </c>
      <c r="AO8" s="9">
        <v>25</v>
      </c>
      <c r="AP8" s="11">
        <f>((AR8*100)/AO$2)</f>
        <v>35.914332784184509</v>
      </c>
      <c r="AQ8" s="10">
        <v>0.38900000000000001</v>
      </c>
      <c r="AR8" s="10">
        <f>(AO$2-AQ8)</f>
        <v>0.21799999999999997</v>
      </c>
    </row>
    <row r="10" spans="1:44" x14ac:dyDescent="0.25">
      <c r="B10" t="s">
        <v>35</v>
      </c>
      <c r="O10" t="s">
        <v>35</v>
      </c>
      <c r="AB10" t="s">
        <v>35</v>
      </c>
      <c r="AO10" t="s">
        <v>35</v>
      </c>
    </row>
    <row r="11" spans="1:44" x14ac:dyDescent="0.25">
      <c r="B11" t="s">
        <v>36</v>
      </c>
      <c r="C11" t="s">
        <v>37</v>
      </c>
      <c r="D11" t="s">
        <v>66</v>
      </c>
      <c r="O11" t="s">
        <v>36</v>
      </c>
      <c r="P11" t="s">
        <v>37</v>
      </c>
      <c r="Q11" t="s">
        <v>75</v>
      </c>
      <c r="AB11" t="s">
        <v>36</v>
      </c>
      <c r="AC11" t="s">
        <v>37</v>
      </c>
      <c r="AD11" t="s">
        <v>82</v>
      </c>
      <c r="AO11" t="s">
        <v>36</v>
      </c>
      <c r="AP11" t="s">
        <v>37</v>
      </c>
      <c r="AQ11" t="s">
        <v>74</v>
      </c>
    </row>
    <row r="12" spans="1:44" x14ac:dyDescent="0.25">
      <c r="D12" s="8">
        <f>(50-35.783)/(0.3163)</f>
        <v>44.947834334492562</v>
      </c>
      <c r="Q12" s="8">
        <f>(50-36.359)/(0.3394)</f>
        <v>40.191514437242191</v>
      </c>
      <c r="AD12" s="8">
        <f>(50-35.799)/(0.2471)</f>
        <v>57.470659651962777</v>
      </c>
      <c r="AQ12" s="8">
        <f>(50-17.974)/(0.6952)</f>
        <v>46.067318757192169</v>
      </c>
    </row>
    <row r="14" spans="1:44" x14ac:dyDescent="0.25">
      <c r="A14" s="3" t="s">
        <v>38</v>
      </c>
      <c r="B14" s="3" t="s">
        <v>1</v>
      </c>
      <c r="N14" s="3" t="s">
        <v>47</v>
      </c>
      <c r="O14" s="3" t="s">
        <v>10</v>
      </c>
      <c r="AA14" s="3" t="s">
        <v>54</v>
      </c>
      <c r="AB14" s="3" t="s">
        <v>19</v>
      </c>
    </row>
    <row r="15" spans="1:44" x14ac:dyDescent="0.25">
      <c r="A15" s="1" t="s">
        <v>34</v>
      </c>
      <c r="B15" s="1">
        <v>0.60699999999999998</v>
      </c>
      <c r="N15" s="1" t="s">
        <v>34</v>
      </c>
      <c r="O15" s="1">
        <v>0.60699999999999998</v>
      </c>
      <c r="AA15" s="1" t="s">
        <v>34</v>
      </c>
      <c r="AB15" s="1">
        <v>0.60699999999999998</v>
      </c>
    </row>
    <row r="16" spans="1:44" x14ac:dyDescent="0.25">
      <c r="B16" s="9" t="s">
        <v>30</v>
      </c>
      <c r="C16" s="9" t="s">
        <v>31</v>
      </c>
      <c r="D16" s="9" t="s">
        <v>33</v>
      </c>
      <c r="E16" s="9" t="s">
        <v>32</v>
      </c>
      <c r="O16" s="9" t="s">
        <v>30</v>
      </c>
      <c r="P16" s="9" t="s">
        <v>31</v>
      </c>
      <c r="Q16" s="9" t="s">
        <v>33</v>
      </c>
      <c r="R16" s="9" t="s">
        <v>32</v>
      </c>
      <c r="AB16" s="9" t="s">
        <v>30</v>
      </c>
      <c r="AC16" s="9" t="s">
        <v>31</v>
      </c>
      <c r="AD16" s="9" t="s">
        <v>33</v>
      </c>
      <c r="AE16" s="9" t="s">
        <v>32</v>
      </c>
    </row>
    <row r="17" spans="1:31" x14ac:dyDescent="0.25">
      <c r="B17" s="9">
        <v>5</v>
      </c>
      <c r="C17" s="11">
        <f>((E17*100)/B$15)</f>
        <v>38.056013179571664</v>
      </c>
      <c r="D17" s="10">
        <v>0.376</v>
      </c>
      <c r="E17" s="10">
        <f>(B$15-D17)</f>
        <v>0.23099999999999998</v>
      </c>
      <c r="O17" s="9">
        <v>5</v>
      </c>
      <c r="P17" s="11">
        <f>((R17*100)/O$15)</f>
        <v>37.397034596375619</v>
      </c>
      <c r="Q17" s="10">
        <v>0.38</v>
      </c>
      <c r="R17" s="10">
        <f>(O$15-Q17)</f>
        <v>0.22699999999999998</v>
      </c>
      <c r="AB17" s="9">
        <v>5</v>
      </c>
      <c r="AC17" s="11">
        <f>((AE17*100)/AB$15)</f>
        <v>32.45469522240527</v>
      </c>
      <c r="AD17" s="10">
        <v>0.41</v>
      </c>
      <c r="AE17" s="10">
        <f>(AB$15-AD17)</f>
        <v>0.19700000000000001</v>
      </c>
    </row>
    <row r="18" spans="1:31" x14ac:dyDescent="0.25">
      <c r="B18" s="9">
        <v>10</v>
      </c>
      <c r="C18" s="11">
        <f>((E18*100)/B$15)</f>
        <v>39.703459637561778</v>
      </c>
      <c r="D18" s="10">
        <v>0.36599999999999999</v>
      </c>
      <c r="E18" s="10">
        <f>(B$15-D18)</f>
        <v>0.24099999999999999</v>
      </c>
      <c r="O18" s="9">
        <v>10</v>
      </c>
      <c r="P18" s="11">
        <f>((R18*100)/O$15)</f>
        <v>37.726523887973642</v>
      </c>
      <c r="Q18" s="10">
        <v>0.378</v>
      </c>
      <c r="R18" s="10">
        <f>(O$15-Q18)</f>
        <v>0.22899999999999998</v>
      </c>
      <c r="AB18" s="9">
        <v>10</v>
      </c>
      <c r="AC18" s="11">
        <f>((AE18*100)/AB$15)</f>
        <v>35.420098846787475</v>
      </c>
      <c r="AD18" s="10">
        <v>0.39200000000000002</v>
      </c>
      <c r="AE18" s="10">
        <f>(AB$15-AD18)</f>
        <v>0.21499999999999997</v>
      </c>
    </row>
    <row r="19" spans="1:31" x14ac:dyDescent="0.25">
      <c r="B19" s="9">
        <v>15</v>
      </c>
      <c r="C19" s="11">
        <f>((E19*100)/B$15)</f>
        <v>39.868204283360789</v>
      </c>
      <c r="D19" s="10">
        <v>0.36499999999999999</v>
      </c>
      <c r="E19" s="10">
        <f>(B$15-D19)</f>
        <v>0.24199999999999999</v>
      </c>
      <c r="O19" s="9">
        <v>15</v>
      </c>
      <c r="P19" s="11">
        <f>((R19*100)/O$15)</f>
        <v>38.220757825370676</v>
      </c>
      <c r="Q19" s="10">
        <v>0.375</v>
      </c>
      <c r="R19" s="10">
        <f>(O$15-Q19)</f>
        <v>0.23199999999999998</v>
      </c>
      <c r="AB19" s="9">
        <v>15</v>
      </c>
      <c r="AC19" s="11">
        <f>((AE19*100)/AB$15)</f>
        <v>39.044481054365733</v>
      </c>
      <c r="AD19" s="10">
        <v>0.37</v>
      </c>
      <c r="AE19" s="10">
        <f>(AB$15-AD19)</f>
        <v>0.23699999999999999</v>
      </c>
    </row>
    <row r="20" spans="1:31" x14ac:dyDescent="0.25">
      <c r="B20" s="9">
        <v>20</v>
      </c>
      <c r="C20" s="11">
        <f>((E20*100)/B$15)</f>
        <v>44.645799011532119</v>
      </c>
      <c r="D20" s="10">
        <v>0.33600000000000002</v>
      </c>
      <c r="E20" s="10">
        <f>(B$15-D20)</f>
        <v>0.27099999999999996</v>
      </c>
      <c r="O20" s="9">
        <v>20</v>
      </c>
      <c r="P20" s="11">
        <f>((R20*100)/O$15)</f>
        <v>39.373970345963755</v>
      </c>
      <c r="Q20" s="10">
        <v>0.36799999999999999</v>
      </c>
      <c r="R20" s="10">
        <f>(O$15-Q20)</f>
        <v>0.23899999999999999</v>
      </c>
      <c r="AB20" s="9">
        <v>20</v>
      </c>
      <c r="AC20" s="11">
        <f>((AE20*100)/AB$15)</f>
        <v>40.032948929159808</v>
      </c>
      <c r="AD20" s="10">
        <v>0.36399999999999999</v>
      </c>
      <c r="AE20" s="10">
        <f>(AB$15-AD20)</f>
        <v>0.24299999999999999</v>
      </c>
    </row>
    <row r="21" spans="1:31" x14ac:dyDescent="0.25">
      <c r="B21" s="9">
        <v>25</v>
      </c>
      <c r="C21" s="11">
        <f>((E21*100)/B$15)</f>
        <v>48.5996705107084</v>
      </c>
      <c r="D21" s="10">
        <v>0.312</v>
      </c>
      <c r="E21" s="10">
        <f>(B$15-D21)</f>
        <v>0.29499999999999998</v>
      </c>
      <c r="O21" s="9">
        <v>25</v>
      </c>
      <c r="P21" s="11">
        <f>((R21*100)/O$15)</f>
        <v>42.174629324546956</v>
      </c>
      <c r="Q21" s="10">
        <v>0.35099999999999998</v>
      </c>
      <c r="R21" s="10">
        <f>(O$15-Q21)</f>
        <v>0.25600000000000001</v>
      </c>
      <c r="AB21" s="9">
        <v>25</v>
      </c>
      <c r="AC21" s="11">
        <f>((AE21*100)/AB$15)</f>
        <v>42.009884678747945</v>
      </c>
      <c r="AD21" s="10">
        <v>0.35199999999999998</v>
      </c>
      <c r="AE21" s="10">
        <f>(AB$15-AD21)</f>
        <v>0.255</v>
      </c>
    </row>
    <row r="23" spans="1:31" x14ac:dyDescent="0.25">
      <c r="B23" t="s">
        <v>35</v>
      </c>
      <c r="O23" t="s">
        <v>35</v>
      </c>
      <c r="AB23" t="s">
        <v>35</v>
      </c>
    </row>
    <row r="24" spans="1:31" x14ac:dyDescent="0.25">
      <c r="B24" t="s">
        <v>36</v>
      </c>
      <c r="C24" t="s">
        <v>37</v>
      </c>
      <c r="D24" t="s">
        <v>67</v>
      </c>
      <c r="O24" t="s">
        <v>36</v>
      </c>
      <c r="P24" t="s">
        <v>37</v>
      </c>
      <c r="Q24" t="s">
        <v>201</v>
      </c>
      <c r="AB24" t="s">
        <v>36</v>
      </c>
      <c r="AC24" t="s">
        <v>37</v>
      </c>
      <c r="AD24" t="s">
        <v>83</v>
      </c>
    </row>
    <row r="25" spans="1:31" x14ac:dyDescent="0.25">
      <c r="D25" s="8">
        <f>(50-34.366)/(0.5206)</f>
        <v>30.030733768728393</v>
      </c>
      <c r="Q25" s="8">
        <f>(50-35.618)/(0.2241)</f>
        <v>64.176706827309232</v>
      </c>
      <c r="AD25" s="8">
        <f>(50-30.675)/(0.4745)</f>
        <v>40.727081138040042</v>
      </c>
    </row>
    <row r="27" spans="1:31" x14ac:dyDescent="0.25">
      <c r="A27" s="3" t="s">
        <v>39</v>
      </c>
      <c r="B27" s="3" t="s">
        <v>2</v>
      </c>
      <c r="N27" s="3" t="s">
        <v>48</v>
      </c>
      <c r="O27" s="3" t="s">
        <v>11</v>
      </c>
      <c r="AA27" s="3" t="s">
        <v>58</v>
      </c>
      <c r="AB27" s="3" t="s">
        <v>20</v>
      </c>
    </row>
    <row r="28" spans="1:31" x14ac:dyDescent="0.25">
      <c r="A28" s="1" t="s">
        <v>34</v>
      </c>
      <c r="B28" s="1">
        <v>0.60699999999999998</v>
      </c>
      <c r="N28" s="1" t="s">
        <v>34</v>
      </c>
      <c r="O28" s="1">
        <v>0.60699999999999998</v>
      </c>
      <c r="AA28" s="1" t="s">
        <v>34</v>
      </c>
      <c r="AB28" s="1">
        <v>0.60699999999999998</v>
      </c>
    </row>
    <row r="29" spans="1:31" x14ac:dyDescent="0.25">
      <c r="B29" s="9" t="s">
        <v>30</v>
      </c>
      <c r="C29" s="9" t="s">
        <v>31</v>
      </c>
      <c r="D29" s="9" t="s">
        <v>33</v>
      </c>
      <c r="E29" s="9" t="s">
        <v>32</v>
      </c>
      <c r="O29" s="9" t="s">
        <v>30</v>
      </c>
      <c r="P29" s="9" t="s">
        <v>31</v>
      </c>
      <c r="Q29" s="9" t="s">
        <v>33</v>
      </c>
      <c r="R29" s="9" t="s">
        <v>32</v>
      </c>
      <c r="AB29" s="9" t="s">
        <v>30</v>
      </c>
      <c r="AC29" s="9" t="s">
        <v>31</v>
      </c>
      <c r="AD29" s="9" t="s">
        <v>33</v>
      </c>
      <c r="AE29" s="9" t="s">
        <v>32</v>
      </c>
    </row>
    <row r="30" spans="1:31" x14ac:dyDescent="0.25">
      <c r="B30" s="9">
        <v>5</v>
      </c>
      <c r="C30" s="11">
        <f>((E30*100)/B$28)</f>
        <v>40.527182866556842</v>
      </c>
      <c r="D30" s="10">
        <v>0.36099999999999999</v>
      </c>
      <c r="E30" s="10">
        <f>(B$28-D30)</f>
        <v>0.246</v>
      </c>
      <c r="O30" s="9">
        <v>5</v>
      </c>
      <c r="P30" s="11">
        <f>((R30*100)/O$28)</f>
        <v>38.71499176276771</v>
      </c>
      <c r="Q30" s="10">
        <v>0.372</v>
      </c>
      <c r="R30" s="10">
        <f>(O$28-Q30)</f>
        <v>0.23499999999999999</v>
      </c>
      <c r="AB30" s="9">
        <v>5</v>
      </c>
      <c r="AC30" s="11">
        <f>((AE30*100)/AB$28)</f>
        <v>35.584843492586486</v>
      </c>
      <c r="AD30" s="10">
        <v>0.39100000000000001</v>
      </c>
      <c r="AE30" s="10">
        <f>(AB$28-AD30)</f>
        <v>0.21599999999999997</v>
      </c>
    </row>
    <row r="31" spans="1:31" x14ac:dyDescent="0.25">
      <c r="B31" s="9">
        <v>10</v>
      </c>
      <c r="C31" s="11">
        <f>((E31*100)/B$28)</f>
        <v>41.845140032948926</v>
      </c>
      <c r="D31" s="10">
        <v>0.35299999999999998</v>
      </c>
      <c r="E31" s="10">
        <f>(B$28-D31)</f>
        <v>0.254</v>
      </c>
      <c r="O31" s="9">
        <v>10</v>
      </c>
      <c r="P31" s="11">
        <f>((R31*100)/O$28)</f>
        <v>39.538714991762767</v>
      </c>
      <c r="Q31" s="10">
        <v>0.36699999999999999</v>
      </c>
      <c r="R31" s="10">
        <f>(O$28-Q31)</f>
        <v>0.24</v>
      </c>
      <c r="AB31" s="9">
        <v>10</v>
      </c>
      <c r="AC31" s="11">
        <f>((AE31*100)/AB$28)</f>
        <v>36.408566721581543</v>
      </c>
      <c r="AD31" s="10">
        <v>0.38600000000000001</v>
      </c>
      <c r="AE31" s="10">
        <f>(AB$28-AD31)</f>
        <v>0.22099999999999997</v>
      </c>
    </row>
    <row r="32" spans="1:31" x14ac:dyDescent="0.25">
      <c r="B32" s="9">
        <v>15</v>
      </c>
      <c r="C32" s="11">
        <f>((E32*100)/B$28)</f>
        <v>43.163097199341024</v>
      </c>
      <c r="D32" s="10">
        <v>0.34499999999999997</v>
      </c>
      <c r="E32" s="10">
        <f>(B$28-D32)</f>
        <v>0.26200000000000001</v>
      </c>
      <c r="O32" s="9">
        <v>15</v>
      </c>
      <c r="P32" s="11">
        <f>((R32*100)/O$28)</f>
        <v>39.868204283360789</v>
      </c>
      <c r="Q32" s="10">
        <v>0.36499999999999999</v>
      </c>
      <c r="R32" s="10">
        <f>(O$28-Q32)</f>
        <v>0.24199999999999999</v>
      </c>
      <c r="AB32" s="9">
        <v>15</v>
      </c>
      <c r="AC32" s="11">
        <f>((AE32*100)/AB$28)</f>
        <v>37.2322899505766</v>
      </c>
      <c r="AD32" s="10">
        <v>0.38100000000000001</v>
      </c>
      <c r="AE32" s="10">
        <f>(AB$28-AD32)</f>
        <v>0.22599999999999998</v>
      </c>
    </row>
    <row r="33" spans="1:31" x14ac:dyDescent="0.25">
      <c r="B33" s="9">
        <v>20</v>
      </c>
      <c r="C33" s="11">
        <f>((E33*100)/B$28)</f>
        <v>43.49258649093904</v>
      </c>
      <c r="D33" s="10">
        <v>0.34300000000000003</v>
      </c>
      <c r="E33" s="10">
        <f>(B$28-D33)</f>
        <v>0.26399999999999996</v>
      </c>
      <c r="O33" s="9">
        <v>20</v>
      </c>
      <c r="P33" s="11">
        <f>((R33*100)/O$28)</f>
        <v>40.691927512355846</v>
      </c>
      <c r="Q33" s="10">
        <v>0.36</v>
      </c>
      <c r="R33" s="10">
        <f>(O$28-Q33)</f>
        <v>0.247</v>
      </c>
      <c r="AB33" s="9">
        <v>20</v>
      </c>
      <c r="AC33" s="11">
        <f>((AE33*100)/AB$28)</f>
        <v>38.38550247116968</v>
      </c>
      <c r="AD33" s="10">
        <v>0.374</v>
      </c>
      <c r="AE33" s="10">
        <f>(AB$28-AD33)</f>
        <v>0.23299999999999998</v>
      </c>
    </row>
    <row r="34" spans="1:31" x14ac:dyDescent="0.25">
      <c r="B34" s="9">
        <v>25</v>
      </c>
      <c r="C34" s="11">
        <f>((E34*100)/B$28)</f>
        <v>43.986820428336074</v>
      </c>
      <c r="D34" s="10">
        <v>0.34</v>
      </c>
      <c r="E34" s="10">
        <f>(B$28-D34)</f>
        <v>0.26699999999999996</v>
      </c>
      <c r="O34" s="9">
        <v>25</v>
      </c>
      <c r="P34" s="11">
        <f>((R34*100)/O$28)</f>
        <v>41.350906095551899</v>
      </c>
      <c r="Q34" s="10">
        <v>0.35599999999999998</v>
      </c>
      <c r="R34" s="10">
        <f>(O$28-Q34)</f>
        <v>0.251</v>
      </c>
      <c r="AB34" s="9">
        <v>25</v>
      </c>
      <c r="AC34" s="11">
        <f>((AE34*100)/AB$28)</f>
        <v>39.538714991762767</v>
      </c>
      <c r="AD34" s="10">
        <v>0.36699999999999999</v>
      </c>
      <c r="AE34" s="10">
        <f>(AB$28-AD34)</f>
        <v>0.24</v>
      </c>
    </row>
    <row r="36" spans="1:31" x14ac:dyDescent="0.25">
      <c r="B36" t="s">
        <v>35</v>
      </c>
      <c r="O36" t="s">
        <v>35</v>
      </c>
      <c r="AB36" t="s">
        <v>35</v>
      </c>
    </row>
    <row r="37" spans="1:31" x14ac:dyDescent="0.25">
      <c r="B37" t="s">
        <v>36</v>
      </c>
      <c r="C37" t="s">
        <v>37</v>
      </c>
      <c r="D37" t="s">
        <v>68</v>
      </c>
      <c r="O37" t="s">
        <v>36</v>
      </c>
      <c r="P37" t="s">
        <v>37</v>
      </c>
      <c r="Q37" t="s">
        <v>200</v>
      </c>
      <c r="AB37" t="s">
        <v>36</v>
      </c>
      <c r="AC37" t="s">
        <v>37</v>
      </c>
      <c r="AD37" t="s">
        <v>84</v>
      </c>
    </row>
    <row r="38" spans="1:31" x14ac:dyDescent="0.25">
      <c r="D38" s="8">
        <f>(50-40.033)/(0.1713)</f>
        <v>58.18447168709865</v>
      </c>
      <c r="Q38" s="8">
        <f>(50-38.105)/(0.1285)</f>
        <v>92.568093385214027</v>
      </c>
      <c r="AD38" s="8">
        <f>(50-34.465)/(0.1977)</f>
        <v>78.57865452706119</v>
      </c>
    </row>
    <row r="40" spans="1:31" x14ac:dyDescent="0.25">
      <c r="A40" s="3" t="s">
        <v>40</v>
      </c>
      <c r="B40" s="3" t="s">
        <v>3</v>
      </c>
      <c r="N40" s="3" t="s">
        <v>49</v>
      </c>
      <c r="O40" s="3" t="s">
        <v>12</v>
      </c>
      <c r="AA40" s="3" t="s">
        <v>59</v>
      </c>
      <c r="AB40" s="3" t="s">
        <v>21</v>
      </c>
    </row>
    <row r="41" spans="1:31" x14ac:dyDescent="0.25">
      <c r="A41" s="1" t="s">
        <v>34</v>
      </c>
      <c r="B41" s="1">
        <v>0.60699999999999998</v>
      </c>
      <c r="N41" s="1" t="s">
        <v>34</v>
      </c>
      <c r="O41" s="1">
        <v>0.60699999999999998</v>
      </c>
      <c r="AA41" s="1" t="s">
        <v>34</v>
      </c>
      <c r="AB41" s="1">
        <v>0.60699999999999998</v>
      </c>
    </row>
    <row r="42" spans="1:31" x14ac:dyDescent="0.25">
      <c r="B42" s="9" t="s">
        <v>30</v>
      </c>
      <c r="C42" s="9" t="s">
        <v>31</v>
      </c>
      <c r="D42" s="9" t="s">
        <v>33</v>
      </c>
      <c r="E42" s="9" t="s">
        <v>32</v>
      </c>
      <c r="O42" s="9" t="s">
        <v>30</v>
      </c>
      <c r="P42" s="9" t="s">
        <v>31</v>
      </c>
      <c r="Q42" s="9" t="s">
        <v>33</v>
      </c>
      <c r="R42" s="9" t="s">
        <v>32</v>
      </c>
      <c r="AB42" s="9" t="s">
        <v>30</v>
      </c>
      <c r="AC42" s="9" t="s">
        <v>31</v>
      </c>
      <c r="AD42" s="9" t="s">
        <v>33</v>
      </c>
      <c r="AE42" s="9" t="s">
        <v>32</v>
      </c>
    </row>
    <row r="43" spans="1:31" x14ac:dyDescent="0.25">
      <c r="B43" s="9">
        <v>5</v>
      </c>
      <c r="C43" s="11">
        <f>((E43*100)/B$41)</f>
        <v>21.911037891268535</v>
      </c>
      <c r="D43" s="10">
        <v>0.47399999999999998</v>
      </c>
      <c r="E43" s="10">
        <f>(B$41-D43)</f>
        <v>0.13300000000000001</v>
      </c>
      <c r="O43" s="9">
        <v>5</v>
      </c>
      <c r="P43" s="11">
        <f>((R43*100)/O$41)</f>
        <v>33.27841845140032</v>
      </c>
      <c r="Q43" s="10">
        <v>0.40500000000000003</v>
      </c>
      <c r="R43" s="10">
        <f>(O$41-Q43)</f>
        <v>0.20199999999999996</v>
      </c>
      <c r="AB43" s="9">
        <v>5</v>
      </c>
      <c r="AC43" s="11">
        <f>((AE43*100)/AB$41)</f>
        <v>32.289950576606266</v>
      </c>
      <c r="AD43" s="10">
        <v>0.41099999999999998</v>
      </c>
      <c r="AE43" s="10">
        <f>(AB$41-AD43)</f>
        <v>0.19600000000000001</v>
      </c>
    </row>
    <row r="44" spans="1:31" x14ac:dyDescent="0.25">
      <c r="B44" s="9">
        <v>10</v>
      </c>
      <c r="C44" s="11">
        <f>((E44*100)/B$41)</f>
        <v>23.887973640856668</v>
      </c>
      <c r="D44" s="10">
        <v>0.46200000000000002</v>
      </c>
      <c r="E44" s="10">
        <f>(B$41-D44)</f>
        <v>0.14499999999999996</v>
      </c>
      <c r="O44" s="9">
        <v>10</v>
      </c>
      <c r="P44" s="11">
        <f>((R44*100)/O$41)</f>
        <v>33.443163097199339</v>
      </c>
      <c r="Q44" s="10">
        <v>0.40400000000000003</v>
      </c>
      <c r="R44" s="10">
        <f>(O$41-Q44)</f>
        <v>0.20299999999999996</v>
      </c>
      <c r="AB44" s="9">
        <v>10</v>
      </c>
      <c r="AC44" s="11">
        <f>((AE44*100)/AB$41)</f>
        <v>32.948929159802304</v>
      </c>
      <c r="AD44" s="10">
        <v>0.40699999999999997</v>
      </c>
      <c r="AE44" s="10">
        <f>(AB$41-AD44)</f>
        <v>0.2</v>
      </c>
    </row>
    <row r="45" spans="1:31" x14ac:dyDescent="0.25">
      <c r="B45" s="9">
        <v>15</v>
      </c>
      <c r="C45" s="11">
        <f>((E45*100)/B$41)</f>
        <v>24.382207578253702</v>
      </c>
      <c r="D45" s="10">
        <v>0.45900000000000002</v>
      </c>
      <c r="E45" s="10">
        <f>(B$41-D45)</f>
        <v>0.14799999999999996</v>
      </c>
      <c r="O45" s="9">
        <v>15</v>
      </c>
      <c r="P45" s="11">
        <f>((R45*100)/O$41)</f>
        <v>35.255354200988464</v>
      </c>
      <c r="Q45" s="10">
        <v>0.39300000000000002</v>
      </c>
      <c r="R45" s="10">
        <f>(O$41-Q45)</f>
        <v>0.21399999999999997</v>
      </c>
      <c r="AB45" s="9">
        <v>15</v>
      </c>
      <c r="AC45" s="11">
        <f>((AE45*100)/AB$41)</f>
        <v>34.76112026359143</v>
      </c>
      <c r="AD45" s="10">
        <v>0.39600000000000002</v>
      </c>
      <c r="AE45" s="10">
        <f>(AB$41-AD45)</f>
        <v>0.21099999999999997</v>
      </c>
    </row>
    <row r="46" spans="1:31" x14ac:dyDescent="0.25">
      <c r="B46" s="9">
        <v>20</v>
      </c>
      <c r="C46" s="11">
        <f>((E46*100)/B$41)</f>
        <v>24.546952224052713</v>
      </c>
      <c r="D46" s="10">
        <v>0.45800000000000002</v>
      </c>
      <c r="E46" s="10">
        <f>(B$41-D46)</f>
        <v>0.14899999999999997</v>
      </c>
      <c r="O46" s="9">
        <v>20</v>
      </c>
      <c r="P46" s="11">
        <f>((R46*100)/O$41)</f>
        <v>35.584843492586486</v>
      </c>
      <c r="Q46" s="10">
        <v>0.39100000000000001</v>
      </c>
      <c r="R46" s="10">
        <f>(O$41-Q46)</f>
        <v>0.21599999999999997</v>
      </c>
      <c r="AB46" s="9">
        <v>20</v>
      </c>
      <c r="AC46" s="11">
        <f>((AE46*100)/AB$41)</f>
        <v>35.749588138385498</v>
      </c>
      <c r="AD46" s="10">
        <v>0.39</v>
      </c>
      <c r="AE46" s="10">
        <f>(AB$41-AD46)</f>
        <v>0.21699999999999997</v>
      </c>
    </row>
    <row r="47" spans="1:31" x14ac:dyDescent="0.25">
      <c r="B47" s="9">
        <v>25</v>
      </c>
      <c r="C47" s="11">
        <f>((E47*100)/B$41)</f>
        <v>29.159802306425039</v>
      </c>
      <c r="D47" s="10">
        <v>0.43</v>
      </c>
      <c r="E47" s="10">
        <f>(B$41-D47)</f>
        <v>0.17699999999999999</v>
      </c>
      <c r="O47" s="9">
        <v>25</v>
      </c>
      <c r="P47" s="11">
        <f>((R47*100)/O$41)</f>
        <v>38.220757825370676</v>
      </c>
      <c r="Q47" s="10">
        <v>0.375</v>
      </c>
      <c r="R47" s="10">
        <f>(O$41-Q47)</f>
        <v>0.23199999999999998</v>
      </c>
      <c r="AB47" s="9">
        <v>25</v>
      </c>
      <c r="AC47" s="11">
        <f>((AE47*100)/AB$41)</f>
        <v>36.243822075782532</v>
      </c>
      <c r="AD47" s="10">
        <v>0.38700000000000001</v>
      </c>
      <c r="AE47" s="10">
        <f>(AB$41-AD47)</f>
        <v>0.21999999999999997</v>
      </c>
    </row>
    <row r="49" spans="1:31" x14ac:dyDescent="0.25">
      <c r="B49" t="s">
        <v>35</v>
      </c>
      <c r="O49" t="s">
        <v>35</v>
      </c>
      <c r="AB49" t="s">
        <v>35</v>
      </c>
    </row>
    <row r="50" spans="1:31" x14ac:dyDescent="0.25">
      <c r="B50" t="s">
        <v>36</v>
      </c>
      <c r="C50" t="s">
        <v>37</v>
      </c>
      <c r="D50" t="s">
        <v>69</v>
      </c>
      <c r="O50" t="s">
        <v>36</v>
      </c>
      <c r="P50" t="s">
        <v>37</v>
      </c>
      <c r="Q50" t="s">
        <v>76</v>
      </c>
      <c r="AB50" t="s">
        <v>36</v>
      </c>
      <c r="AC50" t="s">
        <v>37</v>
      </c>
      <c r="AD50" t="s">
        <v>199</v>
      </c>
    </row>
    <row r="51" spans="1:31" x14ac:dyDescent="0.25">
      <c r="D51" s="8">
        <f>(50-20.231)/(0.3031)</f>
        <v>98.215110524579345</v>
      </c>
      <c r="Q51" s="8">
        <f>(50-31.549)/(0.2405)</f>
        <v>76.719334719334725</v>
      </c>
      <c r="AD51" s="8">
        <f>(50-31.186)/(0.2142)</f>
        <v>87.833800186741357</v>
      </c>
    </row>
    <row r="53" spans="1:31" x14ac:dyDescent="0.25">
      <c r="A53" s="3" t="s">
        <v>41</v>
      </c>
      <c r="B53" s="3" t="s">
        <v>4</v>
      </c>
      <c r="N53" s="3" t="s">
        <v>50</v>
      </c>
      <c r="O53" s="3" t="s">
        <v>13</v>
      </c>
      <c r="AA53" s="3" t="s">
        <v>60</v>
      </c>
      <c r="AB53" s="3" t="s">
        <v>22</v>
      </c>
    </row>
    <row r="54" spans="1:31" x14ac:dyDescent="0.25">
      <c r="A54" s="1" t="s">
        <v>34</v>
      </c>
      <c r="B54" s="1">
        <v>0.60699999999999998</v>
      </c>
      <c r="N54" s="1" t="s">
        <v>34</v>
      </c>
      <c r="O54" s="1">
        <v>0.60699999999999998</v>
      </c>
      <c r="AA54" s="1" t="s">
        <v>34</v>
      </c>
      <c r="AB54" s="1">
        <v>0.60699999999999998</v>
      </c>
    </row>
    <row r="55" spans="1:31" x14ac:dyDescent="0.25">
      <c r="B55" s="9" t="s">
        <v>30</v>
      </c>
      <c r="C55" s="9" t="s">
        <v>31</v>
      </c>
      <c r="D55" s="9" t="s">
        <v>33</v>
      </c>
      <c r="E55" s="9" t="s">
        <v>32</v>
      </c>
      <c r="O55" s="9" t="s">
        <v>30</v>
      </c>
      <c r="P55" s="9" t="s">
        <v>31</v>
      </c>
      <c r="Q55" s="9" t="s">
        <v>33</v>
      </c>
      <c r="R55" s="9" t="s">
        <v>32</v>
      </c>
      <c r="AB55" s="9" t="s">
        <v>30</v>
      </c>
      <c r="AC55" s="9" t="s">
        <v>31</v>
      </c>
      <c r="AD55" s="9" t="s">
        <v>33</v>
      </c>
      <c r="AE55" s="9" t="s">
        <v>32</v>
      </c>
    </row>
    <row r="56" spans="1:31" x14ac:dyDescent="0.25">
      <c r="B56" s="9">
        <v>5</v>
      </c>
      <c r="C56" s="11">
        <f>((E56*100)/B$54)</f>
        <v>18.286655683690277</v>
      </c>
      <c r="D56" s="10">
        <v>0.496</v>
      </c>
      <c r="E56" s="10">
        <f>(B$54-D56)</f>
        <v>0.11099999999999999</v>
      </c>
      <c r="O56" s="9">
        <v>5</v>
      </c>
      <c r="P56" s="11">
        <f>((R56*100)/O$54)</f>
        <v>37.067545304777589</v>
      </c>
      <c r="Q56" s="10">
        <v>0.38200000000000001</v>
      </c>
      <c r="R56" s="10">
        <f>(O$54-Q56)</f>
        <v>0.22499999999999998</v>
      </c>
      <c r="AB56" s="9">
        <v>5</v>
      </c>
      <c r="AC56" s="11">
        <f>((AE56*100)/AB$54)</f>
        <v>31.630971993410213</v>
      </c>
      <c r="AD56" s="10">
        <v>0.41499999999999998</v>
      </c>
      <c r="AE56" s="10">
        <f>(AB$54-AD56)</f>
        <v>0.192</v>
      </c>
    </row>
    <row r="57" spans="1:31" x14ac:dyDescent="0.25">
      <c r="B57" s="9">
        <v>10</v>
      </c>
      <c r="C57" s="11">
        <f>((E57*100)/B$54)</f>
        <v>19.604612850082372</v>
      </c>
      <c r="D57" s="10">
        <v>0.48799999999999999</v>
      </c>
      <c r="E57" s="10">
        <f>(B$54-D57)</f>
        <v>0.11899999999999999</v>
      </c>
      <c r="O57" s="9">
        <v>10</v>
      </c>
      <c r="P57" s="11">
        <f>((R57*100)/O$54)</f>
        <v>37.726523887973642</v>
      </c>
      <c r="Q57" s="10">
        <v>0.378</v>
      </c>
      <c r="R57" s="10">
        <f>(O$54-Q57)</f>
        <v>0.22899999999999998</v>
      </c>
      <c r="AB57" s="9">
        <v>10</v>
      </c>
      <c r="AC57" s="11">
        <f>((AE57*100)/AB$54)</f>
        <v>32.948929159802304</v>
      </c>
      <c r="AD57" s="10">
        <v>0.40699999999999997</v>
      </c>
      <c r="AE57" s="10">
        <f>(AB$54-AD57)</f>
        <v>0.2</v>
      </c>
    </row>
    <row r="58" spans="1:31" x14ac:dyDescent="0.25">
      <c r="B58" s="9">
        <v>15</v>
      </c>
      <c r="C58" s="11">
        <f>((E58*100)/B$54)</f>
        <v>20.263591433278421</v>
      </c>
      <c r="D58" s="10">
        <v>0.48399999999999999</v>
      </c>
      <c r="E58" s="10">
        <f>(B$54-D58)</f>
        <v>0.123</v>
      </c>
      <c r="O58" s="9">
        <v>15</v>
      </c>
      <c r="P58" s="11">
        <f>((R58*100)/O$54)</f>
        <v>38.550247116968698</v>
      </c>
      <c r="Q58" s="10">
        <v>0.373</v>
      </c>
      <c r="R58" s="10">
        <f>(O$54-Q58)</f>
        <v>0.23399999999999999</v>
      </c>
      <c r="AB58" s="9">
        <v>15</v>
      </c>
      <c r="AC58" s="11">
        <f>((AE58*100)/AB$54)</f>
        <v>34.4316309719934</v>
      </c>
      <c r="AD58" s="10">
        <v>0.39800000000000002</v>
      </c>
      <c r="AE58" s="10">
        <f>(AB$54-AD58)</f>
        <v>0.20899999999999996</v>
      </c>
    </row>
    <row r="59" spans="1:31" x14ac:dyDescent="0.25">
      <c r="B59" s="9">
        <v>20</v>
      </c>
      <c r="C59" s="11">
        <f>((E59*100)/B$54)</f>
        <v>20.922570016474463</v>
      </c>
      <c r="D59" s="10">
        <v>0.48</v>
      </c>
      <c r="E59" s="10">
        <f>(B$54-D59)</f>
        <v>0.127</v>
      </c>
      <c r="O59" s="9">
        <v>20</v>
      </c>
      <c r="P59" s="11">
        <f>((R59*100)/O$54)</f>
        <v>39.209225700164744</v>
      </c>
      <c r="Q59" s="10">
        <v>0.36899999999999999</v>
      </c>
      <c r="R59" s="10">
        <f>(O$54-Q59)</f>
        <v>0.23799999999999999</v>
      </c>
      <c r="AB59" s="9">
        <v>20</v>
      </c>
      <c r="AC59" s="11">
        <f>((AE59*100)/AB$54)</f>
        <v>36.902800658978585</v>
      </c>
      <c r="AD59" s="10">
        <v>0.38300000000000001</v>
      </c>
      <c r="AE59" s="10">
        <f>(AB$54-AD59)</f>
        <v>0.22399999999999998</v>
      </c>
    </row>
    <row r="60" spans="1:31" x14ac:dyDescent="0.25">
      <c r="B60" s="9">
        <v>25</v>
      </c>
      <c r="C60" s="11">
        <f>((E60*100)/B$54)</f>
        <v>22.570016474464584</v>
      </c>
      <c r="D60" s="10">
        <v>0.47</v>
      </c>
      <c r="E60" s="10">
        <f>(B$54-D60)</f>
        <v>0.13700000000000001</v>
      </c>
      <c r="O60" s="9">
        <v>25</v>
      </c>
      <c r="P60" s="11">
        <f>((R60*100)/O$54)</f>
        <v>42.33937397034596</v>
      </c>
      <c r="Q60" s="10">
        <v>0.35</v>
      </c>
      <c r="R60" s="10">
        <f>(O$54-Q60)</f>
        <v>0.25700000000000001</v>
      </c>
      <c r="AB60" s="9">
        <v>25</v>
      </c>
      <c r="AC60" s="11">
        <f>((AE60*100)/AB$54)</f>
        <v>38.38550247116968</v>
      </c>
      <c r="AD60" s="10">
        <v>0.374</v>
      </c>
      <c r="AE60" s="10">
        <f>(AB$54-AD60)</f>
        <v>0.23299999999999998</v>
      </c>
    </row>
    <row r="62" spans="1:31" x14ac:dyDescent="0.25">
      <c r="B62" t="s">
        <v>35</v>
      </c>
      <c r="O62" t="s">
        <v>35</v>
      </c>
      <c r="AB62" t="s">
        <v>35</v>
      </c>
    </row>
    <row r="63" spans="1:31" x14ac:dyDescent="0.25">
      <c r="B63" t="s">
        <v>36</v>
      </c>
      <c r="C63" t="s">
        <v>37</v>
      </c>
      <c r="D63" t="s">
        <v>70</v>
      </c>
      <c r="O63" t="s">
        <v>36</v>
      </c>
      <c r="P63" t="s">
        <v>37</v>
      </c>
      <c r="Q63" t="s">
        <v>77</v>
      </c>
      <c r="AB63" t="s">
        <v>36</v>
      </c>
      <c r="AC63" t="s">
        <v>37</v>
      </c>
      <c r="AD63" t="s">
        <v>85</v>
      </c>
    </row>
    <row r="64" spans="1:31" x14ac:dyDescent="0.25">
      <c r="D64" s="8">
        <f>(50-17.364)/(0.1977)</f>
        <v>165.07840161861404</v>
      </c>
      <c r="Q64" s="8">
        <f>(50-35.371)/(0.2405)</f>
        <v>60.827442827442823</v>
      </c>
      <c r="AD64" s="8">
        <f>(50-29.621)/(0.3493)</f>
        <v>58.342399083882057</v>
      </c>
    </row>
    <row r="66" spans="1:31" x14ac:dyDescent="0.25">
      <c r="A66" s="3" t="s">
        <v>42</v>
      </c>
      <c r="B66" s="3" t="s">
        <v>5</v>
      </c>
      <c r="N66" s="3" t="s">
        <v>51</v>
      </c>
      <c r="O66" s="3" t="s">
        <v>14</v>
      </c>
      <c r="AA66" s="3" t="s">
        <v>61</v>
      </c>
      <c r="AB66" s="3" t="s">
        <v>23</v>
      </c>
    </row>
    <row r="67" spans="1:31" x14ac:dyDescent="0.25">
      <c r="A67" s="1" t="s">
        <v>34</v>
      </c>
      <c r="B67" s="1">
        <v>0.60699999999999998</v>
      </c>
      <c r="N67" s="1" t="s">
        <v>34</v>
      </c>
      <c r="O67" s="1">
        <v>0.60699999999999998</v>
      </c>
      <c r="AA67" s="1" t="s">
        <v>34</v>
      </c>
      <c r="AB67" s="1">
        <v>0.60699999999999998</v>
      </c>
    </row>
    <row r="68" spans="1:31" x14ac:dyDescent="0.25">
      <c r="B68" s="9" t="s">
        <v>30</v>
      </c>
      <c r="C68" s="9" t="s">
        <v>31</v>
      </c>
      <c r="D68" s="9" t="s">
        <v>33</v>
      </c>
      <c r="E68" s="9" t="s">
        <v>32</v>
      </c>
      <c r="O68" s="9" t="s">
        <v>30</v>
      </c>
      <c r="P68" s="9" t="s">
        <v>31</v>
      </c>
      <c r="Q68" s="9" t="s">
        <v>33</v>
      </c>
      <c r="R68" s="9" t="s">
        <v>32</v>
      </c>
      <c r="AB68" s="9" t="s">
        <v>30</v>
      </c>
      <c r="AC68" s="9" t="s">
        <v>31</v>
      </c>
      <c r="AD68" s="9" t="s">
        <v>33</v>
      </c>
      <c r="AE68" s="9" t="s">
        <v>32</v>
      </c>
    </row>
    <row r="69" spans="1:31" x14ac:dyDescent="0.25">
      <c r="B69" s="9">
        <v>5</v>
      </c>
      <c r="C69" s="11">
        <f>((E69*100)/B$67)</f>
        <v>21.746293245469523</v>
      </c>
      <c r="D69" s="10">
        <v>0.47499999999999998</v>
      </c>
      <c r="E69" s="10">
        <f>(B$67-D69)</f>
        <v>0.13200000000000001</v>
      </c>
      <c r="O69" s="9">
        <v>5</v>
      </c>
      <c r="P69" s="11">
        <f>((R69*100)/O$67)</f>
        <v>25.205930807248759</v>
      </c>
      <c r="Q69" s="10">
        <v>0.45400000000000001</v>
      </c>
      <c r="R69" s="10">
        <f>(O$67-Q69)</f>
        <v>0.15299999999999997</v>
      </c>
      <c r="AB69" s="9">
        <v>5</v>
      </c>
      <c r="AC69" s="11">
        <f>((AE69*100)/AB$67)</f>
        <v>32.125205930807248</v>
      </c>
      <c r="AD69" s="10">
        <v>0.41199999999999998</v>
      </c>
      <c r="AE69" s="10">
        <f>(AB$67-AD69)</f>
        <v>0.19500000000000001</v>
      </c>
    </row>
    <row r="70" spans="1:31" x14ac:dyDescent="0.25">
      <c r="B70" s="9">
        <v>10</v>
      </c>
      <c r="C70" s="11">
        <f>((E70*100)/B$67)</f>
        <v>23.723228995057656</v>
      </c>
      <c r="D70" s="10">
        <v>0.46300000000000002</v>
      </c>
      <c r="E70" s="10">
        <f>(B$67-D70)</f>
        <v>0.14399999999999996</v>
      </c>
      <c r="O70" s="9">
        <v>10</v>
      </c>
      <c r="P70" s="11">
        <f>((R70*100)/O$67)</f>
        <v>30.642504118616149</v>
      </c>
      <c r="Q70" s="10">
        <v>0.42099999999999999</v>
      </c>
      <c r="R70" s="10">
        <f>(O$67-Q70)</f>
        <v>0.186</v>
      </c>
      <c r="AB70" s="9">
        <v>10</v>
      </c>
      <c r="AC70" s="11">
        <f>((AE70*100)/AB$67)</f>
        <v>34.102141680395384</v>
      </c>
      <c r="AD70" s="10">
        <v>0.4</v>
      </c>
      <c r="AE70" s="10">
        <f>(AB$67-AD70)</f>
        <v>0.20699999999999996</v>
      </c>
    </row>
    <row r="71" spans="1:31" x14ac:dyDescent="0.25">
      <c r="B71" s="9">
        <v>15</v>
      </c>
      <c r="C71" s="11">
        <f>((E71*100)/B$67)</f>
        <v>24.546952224052713</v>
      </c>
      <c r="D71" s="10">
        <v>0.45800000000000002</v>
      </c>
      <c r="E71" s="10">
        <f>(B$67-D71)</f>
        <v>0.14899999999999997</v>
      </c>
      <c r="O71" s="9">
        <v>15</v>
      </c>
      <c r="P71" s="11">
        <f>((R71*100)/O$67)</f>
        <v>30.971993410214171</v>
      </c>
      <c r="Q71" s="10">
        <v>0.41899999999999998</v>
      </c>
      <c r="R71" s="10">
        <f>(O$67-Q71)</f>
        <v>0.188</v>
      </c>
      <c r="AB71" s="9">
        <v>15</v>
      </c>
      <c r="AC71" s="11">
        <f>((AE71*100)/AB$67)</f>
        <v>38.879736408566721</v>
      </c>
      <c r="AD71" s="10">
        <v>0.371</v>
      </c>
      <c r="AE71" s="10">
        <f>(AB$67-AD71)</f>
        <v>0.23599999999999999</v>
      </c>
    </row>
    <row r="72" spans="1:31" x14ac:dyDescent="0.25">
      <c r="B72" s="9">
        <v>20</v>
      </c>
      <c r="C72" s="11">
        <f>((E72*100)/B$67)</f>
        <v>25.041186161449751</v>
      </c>
      <c r="D72" s="10">
        <v>0.45500000000000002</v>
      </c>
      <c r="E72" s="10">
        <f>(B$67-D72)</f>
        <v>0.15199999999999997</v>
      </c>
      <c r="O72" s="9">
        <v>20</v>
      </c>
      <c r="P72" s="11">
        <f>((R72*100)/O$67)</f>
        <v>32.289950576606266</v>
      </c>
      <c r="Q72" s="10">
        <v>0.41099999999999998</v>
      </c>
      <c r="R72" s="10">
        <f>(O$67-Q72)</f>
        <v>0.19600000000000001</v>
      </c>
      <c r="AB72" s="9">
        <v>20</v>
      </c>
      <c r="AC72" s="11">
        <f>((AE72*100)/AB$67)</f>
        <v>39.209225700164744</v>
      </c>
      <c r="AD72" s="10">
        <v>0.36899999999999999</v>
      </c>
      <c r="AE72" s="10">
        <f>(AB$67-AD72)</f>
        <v>0.23799999999999999</v>
      </c>
    </row>
    <row r="73" spans="1:31" x14ac:dyDescent="0.25">
      <c r="B73" s="9">
        <v>25</v>
      </c>
      <c r="C73" s="11">
        <f>((E73*100)/B$67)</f>
        <v>25.535420098846782</v>
      </c>
      <c r="D73" s="10">
        <v>0.45200000000000001</v>
      </c>
      <c r="E73" s="10">
        <f>(B$67-D73)</f>
        <v>0.15499999999999997</v>
      </c>
      <c r="O73" s="9">
        <v>25</v>
      </c>
      <c r="P73" s="11">
        <f>((R73*100)/O$67)</f>
        <v>34.596375617792418</v>
      </c>
      <c r="Q73" s="10">
        <v>0.39700000000000002</v>
      </c>
      <c r="R73" s="10">
        <f>(O$67-Q73)</f>
        <v>0.20999999999999996</v>
      </c>
      <c r="AB73" s="9">
        <v>25</v>
      </c>
      <c r="AC73" s="11">
        <f>((AE73*100)/AB$67)</f>
        <v>42.174629324546956</v>
      </c>
      <c r="AD73" s="10">
        <v>0.35099999999999998</v>
      </c>
      <c r="AE73" s="10">
        <f>(AB$67-AD73)</f>
        <v>0.25600000000000001</v>
      </c>
    </row>
    <row r="75" spans="1:31" x14ac:dyDescent="0.25">
      <c r="B75" t="s">
        <v>35</v>
      </c>
      <c r="O75" t="s">
        <v>35</v>
      </c>
      <c r="AB75" t="s">
        <v>35</v>
      </c>
    </row>
    <row r="76" spans="1:31" x14ac:dyDescent="0.25">
      <c r="B76" t="s">
        <v>36</v>
      </c>
      <c r="C76" t="s">
        <v>37</v>
      </c>
      <c r="D76" t="s">
        <v>65</v>
      </c>
      <c r="O76" t="s">
        <v>36</v>
      </c>
      <c r="P76" t="s">
        <v>37</v>
      </c>
      <c r="Q76" t="s">
        <v>78</v>
      </c>
      <c r="AB76" t="s">
        <v>36</v>
      </c>
      <c r="AC76" t="s">
        <v>37</v>
      </c>
      <c r="AD76" t="s">
        <v>86</v>
      </c>
    </row>
    <row r="77" spans="1:31" x14ac:dyDescent="0.25">
      <c r="D77" s="8">
        <f>(50-21.45)/(0.1779)</f>
        <v>160.48341765036537</v>
      </c>
      <c r="Q77" s="8">
        <f>(50-24.613)/(0.4086)</f>
        <v>62.131669114047966</v>
      </c>
      <c r="AD77" s="8">
        <f>(50-29.736)/(0.5041)</f>
        <v>40.198373338623291</v>
      </c>
    </row>
    <row r="79" spans="1:31" x14ac:dyDescent="0.25">
      <c r="A79" s="3" t="s">
        <v>43</v>
      </c>
      <c r="B79" s="3" t="s">
        <v>6</v>
      </c>
      <c r="N79" s="3" t="s">
        <v>52</v>
      </c>
      <c r="O79" s="3" t="s">
        <v>15</v>
      </c>
      <c r="AA79" s="3" t="s">
        <v>55</v>
      </c>
      <c r="AB79" s="3" t="s">
        <v>24</v>
      </c>
    </row>
    <row r="80" spans="1:31" x14ac:dyDescent="0.25">
      <c r="A80" s="1" t="s">
        <v>34</v>
      </c>
      <c r="B80" s="1">
        <v>0.60699999999999998</v>
      </c>
      <c r="N80" s="1" t="s">
        <v>34</v>
      </c>
      <c r="O80" s="1">
        <v>0.60699999999999998</v>
      </c>
      <c r="AA80" s="1" t="s">
        <v>34</v>
      </c>
      <c r="AB80" s="1">
        <v>0.60699999999999998</v>
      </c>
    </row>
    <row r="81" spans="1:31" x14ac:dyDescent="0.25">
      <c r="B81" s="9" t="s">
        <v>30</v>
      </c>
      <c r="C81" s="9" t="s">
        <v>31</v>
      </c>
      <c r="D81" s="9" t="s">
        <v>33</v>
      </c>
      <c r="E81" s="9" t="s">
        <v>32</v>
      </c>
      <c r="O81" s="9" t="s">
        <v>30</v>
      </c>
      <c r="P81" s="9" t="s">
        <v>31</v>
      </c>
      <c r="Q81" s="9" t="s">
        <v>33</v>
      </c>
      <c r="R81" s="9" t="s">
        <v>32</v>
      </c>
      <c r="AB81" s="9" t="s">
        <v>30</v>
      </c>
      <c r="AC81" s="9" t="s">
        <v>31</v>
      </c>
      <c r="AD81" s="9" t="s">
        <v>33</v>
      </c>
      <c r="AE81" s="9" t="s">
        <v>32</v>
      </c>
    </row>
    <row r="82" spans="1:31" x14ac:dyDescent="0.25">
      <c r="B82" s="9">
        <v>5</v>
      </c>
      <c r="C82" s="11">
        <f>((E82*100)/B$80)</f>
        <v>19.439868204283361</v>
      </c>
      <c r="D82" s="10">
        <v>0.48899999999999999</v>
      </c>
      <c r="E82" s="10">
        <f>(B$80-D82)</f>
        <v>0.11799999999999999</v>
      </c>
      <c r="O82" s="9">
        <v>5</v>
      </c>
      <c r="P82" s="11">
        <f>((R82*100)/O$80)</f>
        <v>30.971993410214171</v>
      </c>
      <c r="Q82" s="10">
        <v>0.41899999999999998</v>
      </c>
      <c r="R82" s="10">
        <f>(O$80-Q82)</f>
        <v>0.188</v>
      </c>
      <c r="AB82" s="9">
        <v>5</v>
      </c>
      <c r="AC82" s="11">
        <f>((AE82*100)/AB$80)</f>
        <v>32.7841845140033</v>
      </c>
      <c r="AD82" s="10">
        <v>0.40799999999999997</v>
      </c>
      <c r="AE82" s="10">
        <f>(AB$80-AD82)</f>
        <v>0.19900000000000001</v>
      </c>
    </row>
    <row r="83" spans="1:31" x14ac:dyDescent="0.25">
      <c r="B83" s="9">
        <v>10</v>
      </c>
      <c r="C83" s="11">
        <f>((E83*100)/B$80)</f>
        <v>20.593080724876444</v>
      </c>
      <c r="D83" s="10">
        <v>0.48199999999999998</v>
      </c>
      <c r="E83" s="10">
        <f>(B$80-D83)</f>
        <v>0.125</v>
      </c>
      <c r="O83" s="9">
        <v>10</v>
      </c>
      <c r="P83" s="11">
        <f>((R83*100)/O$80)</f>
        <v>30.971993410214171</v>
      </c>
      <c r="Q83" s="10">
        <v>0.41899999999999998</v>
      </c>
      <c r="R83" s="10">
        <f>(O$80-Q83)</f>
        <v>0.188</v>
      </c>
      <c r="AB83" s="9">
        <v>10</v>
      </c>
      <c r="AC83" s="11">
        <f>((AE83*100)/AB$80)</f>
        <v>33.113673805601309</v>
      </c>
      <c r="AD83" s="10">
        <v>0.40600000000000003</v>
      </c>
      <c r="AE83" s="10">
        <f>(AB$80-AD83)</f>
        <v>0.20099999999999996</v>
      </c>
    </row>
    <row r="84" spans="1:31" x14ac:dyDescent="0.25">
      <c r="B84" s="9">
        <v>15</v>
      </c>
      <c r="C84" s="11">
        <f>((E84*100)/B$80)</f>
        <v>20.922570016474463</v>
      </c>
      <c r="D84" s="10">
        <v>0.48</v>
      </c>
      <c r="E84" s="10">
        <f>(B$80-D84)</f>
        <v>0.127</v>
      </c>
      <c r="O84" s="9">
        <v>15</v>
      </c>
      <c r="P84" s="11">
        <f>((R84*100)/O$80)</f>
        <v>31.466227347611206</v>
      </c>
      <c r="Q84" s="10">
        <v>0.41599999999999998</v>
      </c>
      <c r="R84" s="10">
        <f>(O$80-Q84)</f>
        <v>0.191</v>
      </c>
      <c r="AB84" s="9">
        <v>15</v>
      </c>
      <c r="AC84" s="11">
        <f>((AE84*100)/AB$80)</f>
        <v>33.772652388797361</v>
      </c>
      <c r="AD84" s="10">
        <v>0.40200000000000002</v>
      </c>
      <c r="AE84" s="10">
        <f>(AB$80-AD84)</f>
        <v>0.20499999999999996</v>
      </c>
    </row>
    <row r="85" spans="1:31" x14ac:dyDescent="0.25">
      <c r="B85" s="9">
        <v>20</v>
      </c>
      <c r="C85" s="11">
        <f>((E85*100)/B$80)</f>
        <v>21.911037891268535</v>
      </c>
      <c r="D85" s="10">
        <v>0.47399999999999998</v>
      </c>
      <c r="E85" s="10">
        <f>(B$80-D85)</f>
        <v>0.13300000000000001</v>
      </c>
      <c r="O85" s="9">
        <v>20</v>
      </c>
      <c r="P85" s="11">
        <f>((R85*100)/O$80)</f>
        <v>35.255354200988464</v>
      </c>
      <c r="Q85" s="10">
        <v>0.39300000000000002</v>
      </c>
      <c r="R85" s="10">
        <f>(O$80-Q85)</f>
        <v>0.21399999999999997</v>
      </c>
      <c r="AB85" s="9">
        <v>20</v>
      </c>
      <c r="AC85" s="11">
        <f>((AE85*100)/AB$80)</f>
        <v>34.76112026359143</v>
      </c>
      <c r="AD85" s="10">
        <v>0.39600000000000002</v>
      </c>
      <c r="AE85" s="10">
        <f>(AB$80-AD85)</f>
        <v>0.21099999999999997</v>
      </c>
    </row>
    <row r="86" spans="1:31" x14ac:dyDescent="0.25">
      <c r="B86" s="9">
        <v>25</v>
      </c>
      <c r="C86" s="11">
        <f>((E86*100)/B$80)</f>
        <v>22.075782537067546</v>
      </c>
      <c r="D86" s="10">
        <v>0.47299999999999998</v>
      </c>
      <c r="E86" s="10">
        <f>(B$80-D86)</f>
        <v>0.13400000000000001</v>
      </c>
      <c r="O86" s="9">
        <v>25</v>
      </c>
      <c r="P86" s="11">
        <f>((R86*100)/O$80)</f>
        <v>36.079077429983521</v>
      </c>
      <c r="Q86" s="10">
        <v>0.38800000000000001</v>
      </c>
      <c r="R86" s="10">
        <f>(O$80-Q86)</f>
        <v>0.21899999999999997</v>
      </c>
      <c r="AB86" s="9">
        <v>25</v>
      </c>
      <c r="AC86" s="11">
        <f>((AE86*100)/AB$80)</f>
        <v>37.067545304777589</v>
      </c>
      <c r="AD86" s="10">
        <v>0.38200000000000001</v>
      </c>
      <c r="AE86" s="10">
        <f>(AB$80-AD86)</f>
        <v>0.22499999999999998</v>
      </c>
    </row>
    <row r="88" spans="1:31" x14ac:dyDescent="0.25">
      <c r="B88" t="s">
        <v>35</v>
      </c>
      <c r="O88" t="s">
        <v>35</v>
      </c>
      <c r="AB88" t="s">
        <v>35</v>
      </c>
    </row>
    <row r="89" spans="1:31" x14ac:dyDescent="0.25">
      <c r="B89" t="s">
        <v>36</v>
      </c>
      <c r="C89" t="s">
        <v>37</v>
      </c>
      <c r="D89" t="s">
        <v>71</v>
      </c>
      <c r="O89" t="s">
        <v>36</v>
      </c>
      <c r="P89" t="s">
        <v>37</v>
      </c>
      <c r="Q89" t="s">
        <v>79</v>
      </c>
      <c r="AB89" t="s">
        <v>36</v>
      </c>
      <c r="AC89" t="s">
        <v>37</v>
      </c>
      <c r="AD89" t="s">
        <v>87</v>
      </c>
    </row>
    <row r="90" spans="1:31" x14ac:dyDescent="0.25">
      <c r="D90" s="8">
        <f>(50-19.012)/(0.1318)</f>
        <v>235.11380880121396</v>
      </c>
      <c r="Q90" s="8">
        <f>(50-28.6)/(0.29)</f>
        <v>73.793103448275858</v>
      </c>
      <c r="AD90" s="8">
        <f>(50-31.236)/(0.2043)</f>
        <v>91.845325501713162</v>
      </c>
    </row>
    <row r="92" spans="1:31" x14ac:dyDescent="0.25">
      <c r="A92" s="3" t="s">
        <v>44</v>
      </c>
      <c r="B92" s="3" t="s">
        <v>7</v>
      </c>
      <c r="N92" s="3" t="s">
        <v>53</v>
      </c>
      <c r="O92" s="3" t="s">
        <v>16</v>
      </c>
      <c r="AA92" s="3" t="s">
        <v>62</v>
      </c>
      <c r="AB92" s="3" t="s">
        <v>26</v>
      </c>
    </row>
    <row r="93" spans="1:31" x14ac:dyDescent="0.25">
      <c r="A93" s="1" t="s">
        <v>34</v>
      </c>
      <c r="B93" s="1">
        <v>0.60699999999999998</v>
      </c>
      <c r="N93" s="1" t="s">
        <v>34</v>
      </c>
      <c r="O93" s="1">
        <v>0.60699999999999998</v>
      </c>
      <c r="AA93" s="1" t="s">
        <v>34</v>
      </c>
      <c r="AB93" s="1">
        <v>0.60699999999999998</v>
      </c>
    </row>
    <row r="94" spans="1:31" x14ac:dyDescent="0.25">
      <c r="B94" s="9" t="s">
        <v>30</v>
      </c>
      <c r="C94" s="9" t="s">
        <v>31</v>
      </c>
      <c r="D94" s="9" t="s">
        <v>33</v>
      </c>
      <c r="E94" s="9" t="s">
        <v>32</v>
      </c>
      <c r="O94" s="9" t="s">
        <v>30</v>
      </c>
      <c r="P94" s="9" t="s">
        <v>31</v>
      </c>
      <c r="Q94" s="9" t="s">
        <v>33</v>
      </c>
      <c r="R94" s="9" t="s">
        <v>32</v>
      </c>
      <c r="AB94" s="9" t="s">
        <v>30</v>
      </c>
      <c r="AC94" s="9" t="s">
        <v>31</v>
      </c>
      <c r="AD94" s="9" t="s">
        <v>33</v>
      </c>
      <c r="AE94" s="9" t="s">
        <v>32</v>
      </c>
    </row>
    <row r="95" spans="1:31" x14ac:dyDescent="0.25">
      <c r="B95" s="9">
        <v>5</v>
      </c>
      <c r="C95" s="11">
        <f>((E95*100)/B$93)</f>
        <v>24.382207578253702</v>
      </c>
      <c r="D95" s="10">
        <v>0.45900000000000002</v>
      </c>
      <c r="E95" s="10">
        <f>(B$93-D95)</f>
        <v>0.14799999999999996</v>
      </c>
      <c r="O95" s="9">
        <v>5</v>
      </c>
      <c r="P95" s="11">
        <f>((R95*100)/O$93)</f>
        <v>31.630971993410213</v>
      </c>
      <c r="Q95" s="10">
        <v>0.41499999999999998</v>
      </c>
      <c r="R95" s="10">
        <f>(O$93-Q95)</f>
        <v>0.192</v>
      </c>
      <c r="AB95" s="9">
        <v>5</v>
      </c>
      <c r="AC95" s="11">
        <f>((AE95*100)/AB$93)</f>
        <v>32.289950576606266</v>
      </c>
      <c r="AD95" s="10">
        <v>0.41099999999999998</v>
      </c>
      <c r="AE95" s="10">
        <f>(AB$93-AD95)</f>
        <v>0.19600000000000001</v>
      </c>
    </row>
    <row r="96" spans="1:31" x14ac:dyDescent="0.25">
      <c r="B96" s="9">
        <v>10</v>
      </c>
      <c r="C96" s="11">
        <f>((E96*100)/B$93)</f>
        <v>24.546952224052713</v>
      </c>
      <c r="D96" s="10">
        <v>0.45800000000000002</v>
      </c>
      <c r="E96" s="10">
        <f>(B$93-D96)</f>
        <v>0.14899999999999997</v>
      </c>
      <c r="O96" s="9">
        <v>10</v>
      </c>
      <c r="P96" s="11">
        <f>((R96*100)/O$93)</f>
        <v>32.7841845140033</v>
      </c>
      <c r="Q96" s="10">
        <v>0.40799999999999997</v>
      </c>
      <c r="R96" s="10">
        <f>(O$93-Q96)</f>
        <v>0.19900000000000001</v>
      </c>
      <c r="AB96" s="9">
        <v>10</v>
      </c>
      <c r="AC96" s="11">
        <f>((AE96*100)/AB$93)</f>
        <v>34.4316309719934</v>
      </c>
      <c r="AD96" s="10">
        <v>0.39800000000000002</v>
      </c>
      <c r="AE96" s="10">
        <f>(AB$93-AD96)</f>
        <v>0.20899999999999996</v>
      </c>
    </row>
    <row r="97" spans="1:31" x14ac:dyDescent="0.25">
      <c r="B97" s="9">
        <v>15</v>
      </c>
      <c r="C97" s="11">
        <f>((E97*100)/B$93)</f>
        <v>25.205930807248759</v>
      </c>
      <c r="D97" s="10">
        <v>0.45400000000000001</v>
      </c>
      <c r="E97" s="10">
        <f>(B$93-D97)</f>
        <v>0.15299999999999997</v>
      </c>
      <c r="O97" s="9">
        <v>15</v>
      </c>
      <c r="P97" s="11">
        <f>((R97*100)/O$93)</f>
        <v>33.607907742998343</v>
      </c>
      <c r="Q97" s="10">
        <v>0.40300000000000002</v>
      </c>
      <c r="R97" s="10">
        <f>(O$93-Q97)</f>
        <v>0.20399999999999996</v>
      </c>
      <c r="AB97" s="9">
        <v>15</v>
      </c>
      <c r="AC97" s="11">
        <f>((AE97*100)/AB$93)</f>
        <v>37.397034596375619</v>
      </c>
      <c r="AD97" s="10">
        <v>0.38</v>
      </c>
      <c r="AE97" s="10">
        <f>(AB$93-AD97)</f>
        <v>0.22699999999999998</v>
      </c>
    </row>
    <row r="98" spans="1:31" x14ac:dyDescent="0.25">
      <c r="B98" s="9">
        <v>20</v>
      </c>
      <c r="C98" s="11">
        <f>((E98*100)/B$93)</f>
        <v>25.864909390444808</v>
      </c>
      <c r="D98" s="10">
        <v>0.45</v>
      </c>
      <c r="E98" s="10">
        <f>(B$93-D98)</f>
        <v>0.15699999999999997</v>
      </c>
      <c r="O98" s="9">
        <v>20</v>
      </c>
      <c r="P98" s="11">
        <f>((R98*100)/O$93)</f>
        <v>34.76112026359143</v>
      </c>
      <c r="Q98" s="10">
        <v>0.39600000000000002</v>
      </c>
      <c r="R98" s="10">
        <f>(O$93-Q98)</f>
        <v>0.21099999999999997</v>
      </c>
      <c r="AB98" s="9">
        <v>20</v>
      </c>
      <c r="AC98" s="11">
        <f>((AE98*100)/AB$93)</f>
        <v>44.810543657331131</v>
      </c>
      <c r="AD98" s="10">
        <v>0.33500000000000002</v>
      </c>
      <c r="AE98" s="10">
        <f>(AB$93-AD98)</f>
        <v>0.27199999999999996</v>
      </c>
    </row>
    <row r="99" spans="1:31" x14ac:dyDescent="0.25">
      <c r="B99" s="9">
        <v>25</v>
      </c>
      <c r="C99" s="11">
        <f>((E99*100)/B$93)</f>
        <v>26.194398682042831</v>
      </c>
      <c r="D99" s="10">
        <v>0.44800000000000001</v>
      </c>
      <c r="E99" s="10">
        <f>(B$93-D99)</f>
        <v>0.15899999999999997</v>
      </c>
      <c r="O99" s="9">
        <v>25</v>
      </c>
      <c r="P99" s="11">
        <f>((R99*100)/O$93)</f>
        <v>35.090609555189452</v>
      </c>
      <c r="Q99" s="10">
        <v>0.39400000000000002</v>
      </c>
      <c r="R99" s="10">
        <f>(O$93-Q99)</f>
        <v>0.21299999999999997</v>
      </c>
      <c r="AB99" s="9">
        <v>25</v>
      </c>
      <c r="AC99" s="11">
        <f>((AE99*100)/AB$93)</f>
        <v>46.787479406919275</v>
      </c>
      <c r="AD99" s="10">
        <v>0.32300000000000001</v>
      </c>
      <c r="AE99" s="10">
        <f>(AB$93-AD99)</f>
        <v>0.28399999999999997</v>
      </c>
    </row>
    <row r="101" spans="1:31" x14ac:dyDescent="0.25">
      <c r="B101" t="s">
        <v>35</v>
      </c>
      <c r="O101" t="s">
        <v>35</v>
      </c>
      <c r="AB101" t="s">
        <v>35</v>
      </c>
    </row>
    <row r="102" spans="1:31" x14ac:dyDescent="0.25">
      <c r="B102" t="s">
        <v>36</v>
      </c>
      <c r="C102" t="s">
        <v>37</v>
      </c>
      <c r="D102" t="s">
        <v>72</v>
      </c>
      <c r="O102" t="s">
        <v>36</v>
      </c>
      <c r="P102" t="s">
        <v>37</v>
      </c>
      <c r="Q102" t="s">
        <v>80</v>
      </c>
      <c r="AB102" t="s">
        <v>36</v>
      </c>
      <c r="AC102" t="s">
        <v>37</v>
      </c>
      <c r="AD102" t="s">
        <v>88</v>
      </c>
    </row>
    <row r="103" spans="1:31" x14ac:dyDescent="0.25">
      <c r="D103" s="8">
        <f>(50-23.756)/(0.0988)</f>
        <v>265.62753036437249</v>
      </c>
      <c r="Q103" s="8">
        <f>(50-30.906)/(0.1779)</f>
        <v>107.32996065205172</v>
      </c>
      <c r="AD103" s="8">
        <f>(50-27.166)/(0.7875)</f>
        <v>28.995555555555555</v>
      </c>
    </row>
    <row r="105" spans="1:31" x14ac:dyDescent="0.25">
      <c r="A105" s="3" t="s">
        <v>45</v>
      </c>
      <c r="B105" s="3" t="s">
        <v>8</v>
      </c>
      <c r="N105" s="3" t="s">
        <v>56</v>
      </c>
      <c r="O105" s="3" t="s">
        <v>18</v>
      </c>
      <c r="AA105" s="3" t="s">
        <v>63</v>
      </c>
      <c r="AB105" s="3" t="s">
        <v>25</v>
      </c>
    </row>
    <row r="106" spans="1:31" x14ac:dyDescent="0.25">
      <c r="A106" s="1" t="s">
        <v>34</v>
      </c>
      <c r="B106" s="1">
        <v>0.60699999999999998</v>
      </c>
      <c r="N106" s="1" t="s">
        <v>34</v>
      </c>
      <c r="O106" s="1">
        <v>0.60699999999999998</v>
      </c>
      <c r="AA106" s="1" t="s">
        <v>34</v>
      </c>
      <c r="AB106" s="1">
        <v>0.60699999999999998</v>
      </c>
    </row>
    <row r="107" spans="1:31" x14ac:dyDescent="0.25">
      <c r="B107" s="9" t="s">
        <v>30</v>
      </c>
      <c r="C107" s="9" t="s">
        <v>31</v>
      </c>
      <c r="D107" s="9" t="s">
        <v>33</v>
      </c>
      <c r="E107" s="9" t="s">
        <v>32</v>
      </c>
      <c r="O107" s="9" t="s">
        <v>30</v>
      </c>
      <c r="P107" s="9" t="s">
        <v>31</v>
      </c>
      <c r="Q107" s="9" t="s">
        <v>33</v>
      </c>
      <c r="R107" s="9" t="s">
        <v>32</v>
      </c>
      <c r="AB107" s="9" t="s">
        <v>30</v>
      </c>
      <c r="AC107" s="9" t="s">
        <v>31</v>
      </c>
      <c r="AD107" s="9" t="s">
        <v>33</v>
      </c>
      <c r="AE107" s="9" t="s">
        <v>32</v>
      </c>
    </row>
    <row r="108" spans="1:31" x14ac:dyDescent="0.25">
      <c r="B108" s="9">
        <v>5</v>
      </c>
      <c r="C108" s="11">
        <f>((E108*100)/B$106)</f>
        <v>19.275123558484349</v>
      </c>
      <c r="D108" s="10">
        <v>0.49</v>
      </c>
      <c r="E108" s="10">
        <f>(B$106-D108)</f>
        <v>0.11699999999999999</v>
      </c>
      <c r="O108" s="9">
        <v>5</v>
      </c>
      <c r="P108" s="11">
        <f>((R108*100)/O$106)</f>
        <v>11.202635914332777</v>
      </c>
      <c r="Q108" s="10">
        <v>0.53900000000000003</v>
      </c>
      <c r="R108" s="10">
        <f>(O$106-Q108)</f>
        <v>6.7999999999999949E-2</v>
      </c>
      <c r="AB108" s="9">
        <v>5</v>
      </c>
      <c r="AC108" s="11">
        <f>((AE108*100)/AB$106)</f>
        <v>32.948929159802304</v>
      </c>
      <c r="AD108" s="10">
        <v>0.40699999999999997</v>
      </c>
      <c r="AE108" s="10">
        <f>(AB$106-AD108)</f>
        <v>0.2</v>
      </c>
    </row>
    <row r="109" spans="1:31" x14ac:dyDescent="0.25">
      <c r="B109" s="9">
        <v>10</v>
      </c>
      <c r="C109" s="11">
        <f>((E109*100)/B$106)</f>
        <v>21.087314662273478</v>
      </c>
      <c r="D109" s="10">
        <v>0.47899999999999998</v>
      </c>
      <c r="E109" s="10">
        <f>(B$106-D109)</f>
        <v>0.128</v>
      </c>
      <c r="O109" s="9">
        <v>10</v>
      </c>
      <c r="P109" s="11">
        <f>((R109*100)/O$106)</f>
        <v>26.688632619439868</v>
      </c>
      <c r="Q109" s="10">
        <v>0.44500000000000001</v>
      </c>
      <c r="R109" s="10">
        <f>(O$106-Q109)</f>
        <v>0.16199999999999998</v>
      </c>
      <c r="AB109" s="9">
        <v>10</v>
      </c>
      <c r="AC109" s="11">
        <f>((AE109*100)/AB$106)</f>
        <v>33.607907742998343</v>
      </c>
      <c r="AD109" s="10">
        <v>0.40300000000000002</v>
      </c>
      <c r="AE109" s="10">
        <f>(AB$106-AD109)</f>
        <v>0.20399999999999996</v>
      </c>
    </row>
    <row r="110" spans="1:31" x14ac:dyDescent="0.25">
      <c r="B110" s="9">
        <v>15</v>
      </c>
      <c r="C110" s="11">
        <f>((E110*100)/B$106)</f>
        <v>23.228995057660619</v>
      </c>
      <c r="D110" s="10">
        <v>0.46600000000000003</v>
      </c>
      <c r="E110" s="10">
        <f>(B$106-D110)</f>
        <v>0.14099999999999996</v>
      </c>
      <c r="O110" s="9">
        <v>15</v>
      </c>
      <c r="P110" s="11">
        <f>((R110*100)/O$106)</f>
        <v>32.289950576606266</v>
      </c>
      <c r="Q110" s="10">
        <v>0.41099999999999998</v>
      </c>
      <c r="R110" s="10">
        <f>(O$106-Q110)</f>
        <v>0.19600000000000001</v>
      </c>
      <c r="AB110" s="9">
        <v>15</v>
      </c>
      <c r="AC110" s="11">
        <f>((AE110*100)/AB$106)</f>
        <v>35.914332784184509</v>
      </c>
      <c r="AD110" s="10">
        <v>0.38900000000000001</v>
      </c>
      <c r="AE110" s="10">
        <f>(AB$106-AD110)</f>
        <v>0.21799999999999997</v>
      </c>
    </row>
    <row r="111" spans="1:31" x14ac:dyDescent="0.25">
      <c r="B111" s="9">
        <v>20</v>
      </c>
      <c r="C111" s="11">
        <f>((E111*100)/B$106)</f>
        <v>25.205930807248759</v>
      </c>
      <c r="D111" s="10">
        <v>0.45400000000000001</v>
      </c>
      <c r="E111" s="10">
        <f>(B$106-D111)</f>
        <v>0.15299999999999997</v>
      </c>
      <c r="O111" s="9">
        <v>20</v>
      </c>
      <c r="P111" s="11">
        <f>((R111*100)/O$106)</f>
        <v>36.079077429983521</v>
      </c>
      <c r="Q111" s="10">
        <v>0.38800000000000001</v>
      </c>
      <c r="R111" s="10">
        <f>(O$106-Q111)</f>
        <v>0.21899999999999997</v>
      </c>
      <c r="AB111" s="9">
        <v>20</v>
      </c>
      <c r="AC111" s="11">
        <f>((AE111*100)/AB$106)</f>
        <v>36.079077429983521</v>
      </c>
      <c r="AD111" s="10">
        <v>0.38800000000000001</v>
      </c>
      <c r="AE111" s="10">
        <f>(AB$106-AD111)</f>
        <v>0.21899999999999997</v>
      </c>
    </row>
    <row r="112" spans="1:31" x14ac:dyDescent="0.25">
      <c r="B112" s="9">
        <v>25</v>
      </c>
      <c r="C112" s="11">
        <f>((E112*100)/B$106)</f>
        <v>26.523887973640853</v>
      </c>
      <c r="D112" s="10">
        <v>0.44600000000000001</v>
      </c>
      <c r="E112" s="10">
        <f>(B$106-D112)</f>
        <v>0.16099999999999998</v>
      </c>
      <c r="O112" s="9">
        <v>25</v>
      </c>
      <c r="P112" s="11">
        <f>((R112*100)/O$106)</f>
        <v>43.49258649093904</v>
      </c>
      <c r="Q112" s="10">
        <v>0.34300000000000003</v>
      </c>
      <c r="R112" s="10">
        <f>(O$106-Q112)</f>
        <v>0.26399999999999996</v>
      </c>
      <c r="AB112" s="9">
        <v>25</v>
      </c>
      <c r="AC112" s="11">
        <f>((AE112*100)/AB$106)</f>
        <v>38.550247116968698</v>
      </c>
      <c r="AD112" s="10">
        <v>0.373</v>
      </c>
      <c r="AE112" s="10">
        <f>(AB$106-AD112)</f>
        <v>0.23399999999999999</v>
      </c>
    </row>
    <row r="114" spans="2:30" x14ac:dyDescent="0.25">
      <c r="B114" t="s">
        <v>35</v>
      </c>
      <c r="O114" t="s">
        <v>35</v>
      </c>
      <c r="AB114" t="s">
        <v>35</v>
      </c>
    </row>
    <row r="115" spans="2:30" x14ac:dyDescent="0.25">
      <c r="B115" t="s">
        <v>36</v>
      </c>
      <c r="C115" t="s">
        <v>37</v>
      </c>
      <c r="D115" t="s">
        <v>73</v>
      </c>
      <c r="O115" t="s">
        <v>36</v>
      </c>
      <c r="P115" t="s">
        <v>37</v>
      </c>
      <c r="Q115" t="s">
        <v>81</v>
      </c>
      <c r="AB115" t="s">
        <v>36</v>
      </c>
      <c r="AC115" t="s">
        <v>37</v>
      </c>
      <c r="AD115" t="s">
        <v>89</v>
      </c>
    </row>
    <row r="116" spans="2:30" x14ac:dyDescent="0.25">
      <c r="D116" s="8">
        <f>(50-17.479)/(0.3723)</f>
        <v>87.351598173515981</v>
      </c>
      <c r="Q116" s="8">
        <f>(50-7.7595)/(1.4794)</f>
        <v>28.552453697444907</v>
      </c>
      <c r="AD116" s="8">
        <f>(50-31.318)/(0.2735)</f>
        <v>68.307129798903091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4EEF9-55F8-4B22-9174-4AB46BF17E42}">
  <dimension ref="A1:AA38"/>
  <sheetViews>
    <sheetView topLeftCell="I5" zoomScale="71" zoomScaleNormal="71" workbookViewId="0">
      <selection activeCell="J15" sqref="J15:P21"/>
    </sheetView>
  </sheetViews>
  <sheetFormatPr defaultRowHeight="15" x14ac:dyDescent="0.25"/>
  <cols>
    <col min="1" max="1" width="9.140625" style="130"/>
    <col min="2" max="2" width="13.85546875" style="130" customWidth="1"/>
    <col min="3" max="3" width="12.7109375" style="130" customWidth="1"/>
    <col min="4" max="5" width="9.140625" style="130"/>
    <col min="6" max="6" width="11" style="130" bestFit="1" customWidth="1"/>
    <col min="7" max="7" width="13.5703125" style="130" bestFit="1" customWidth="1"/>
    <col min="8" max="8" width="13.140625" style="130" bestFit="1" customWidth="1"/>
    <col min="9" max="9" width="23.42578125" style="130" bestFit="1" customWidth="1"/>
    <col min="10" max="10" width="12.5703125" style="130" bestFit="1" customWidth="1"/>
    <col min="11" max="11" width="19.85546875" style="130" bestFit="1" customWidth="1"/>
    <col min="12" max="12" width="13" style="130" customWidth="1"/>
    <col min="13" max="13" width="11" style="130" bestFit="1" customWidth="1"/>
    <col min="14" max="14" width="13.5703125" style="130" bestFit="1" customWidth="1"/>
    <col min="15" max="15" width="16.42578125" style="130" bestFit="1" customWidth="1"/>
    <col min="16" max="16" width="12.5703125" style="130" customWidth="1"/>
    <col min="17" max="18" width="9.140625" style="130"/>
    <col min="19" max="19" width="26.5703125" style="130" bestFit="1" customWidth="1"/>
    <col min="20" max="20" width="25.140625" style="130" bestFit="1" customWidth="1"/>
    <col min="21" max="21" width="10.5703125" style="130" bestFit="1" customWidth="1"/>
    <col min="22" max="22" width="13.85546875" style="130" bestFit="1" customWidth="1"/>
    <col min="23" max="23" width="9.140625" style="130"/>
    <col min="24" max="24" width="25.7109375" style="130" bestFit="1" customWidth="1"/>
    <col min="25" max="25" width="24.28515625" style="130" bestFit="1" customWidth="1"/>
    <col min="26" max="26" width="10.5703125" style="130" bestFit="1" customWidth="1"/>
    <col min="27" max="27" width="12.140625" style="130" bestFit="1" customWidth="1"/>
    <col min="28" max="16384" width="9.140625" style="130"/>
  </cols>
  <sheetData>
    <row r="1" spans="1:27" ht="15.75" x14ac:dyDescent="0.25">
      <c r="A1" s="130" t="s">
        <v>140</v>
      </c>
      <c r="H1" s="148"/>
      <c r="I1" s="161" t="s">
        <v>106</v>
      </c>
      <c r="J1" s="162"/>
      <c r="K1" s="153"/>
      <c r="L1" s="153"/>
      <c r="M1" s="153"/>
      <c r="N1" s="153"/>
      <c r="O1" s="163"/>
      <c r="P1" s="153"/>
      <c r="Q1" s="153"/>
      <c r="R1" s="137"/>
      <c r="X1" s="176" t="s">
        <v>163</v>
      </c>
      <c r="Y1" s="176"/>
      <c r="Z1" s="176"/>
      <c r="AA1" s="176"/>
    </row>
    <row r="2" spans="1:27" x14ac:dyDescent="0.25">
      <c r="B2" s="180" t="s">
        <v>93</v>
      </c>
      <c r="C2" s="182" t="s">
        <v>90</v>
      </c>
      <c r="D2" s="183"/>
      <c r="E2" s="184"/>
      <c r="F2" s="185" t="s">
        <v>94</v>
      </c>
      <c r="G2" s="187" t="s">
        <v>95</v>
      </c>
      <c r="H2" s="145"/>
      <c r="I2" s="141" t="s">
        <v>93</v>
      </c>
      <c r="J2" s="169" t="s">
        <v>110</v>
      </c>
      <c r="K2" s="141" t="s">
        <v>111</v>
      </c>
      <c r="L2" s="141" t="s">
        <v>112</v>
      </c>
      <c r="M2" s="141" t="s">
        <v>94</v>
      </c>
      <c r="N2" s="141" t="s">
        <v>95</v>
      </c>
      <c r="O2" s="149"/>
      <c r="P2" s="137"/>
      <c r="Q2" s="137"/>
      <c r="R2" s="137"/>
    </row>
    <row r="3" spans="1:27" ht="15.75" x14ac:dyDescent="0.25">
      <c r="B3" s="181"/>
      <c r="C3" s="135" t="s">
        <v>91</v>
      </c>
      <c r="D3" s="135" t="s">
        <v>92</v>
      </c>
      <c r="E3" s="135" t="s">
        <v>198</v>
      </c>
      <c r="F3" s="186"/>
      <c r="G3" s="187"/>
      <c r="H3" s="145"/>
      <c r="I3" s="142" t="s">
        <v>107</v>
      </c>
      <c r="J3" s="170">
        <f>F4</f>
        <v>116.86</v>
      </c>
      <c r="K3" s="134">
        <f>F5</f>
        <v>99.52</v>
      </c>
      <c r="L3" s="134">
        <f>F6</f>
        <v>107.94999999999999</v>
      </c>
      <c r="M3" s="134">
        <f>SUM(J3:L3)</f>
        <v>324.33</v>
      </c>
      <c r="N3" s="136">
        <f>SUM(J3:L3)/9</f>
        <v>36.036666666666662</v>
      </c>
      <c r="O3" s="147"/>
      <c r="P3" s="137"/>
      <c r="Q3" s="137"/>
      <c r="R3" s="137"/>
      <c r="X3" s="166" t="s">
        <v>164</v>
      </c>
      <c r="Y3" s="166" t="s">
        <v>166</v>
      </c>
      <c r="Z3" s="166" t="s">
        <v>90</v>
      </c>
      <c r="AA3" s="166" t="s">
        <v>211</v>
      </c>
    </row>
    <row r="4" spans="1:27" ht="15.75" x14ac:dyDescent="0.25">
      <c r="B4" s="133" t="s">
        <v>96</v>
      </c>
      <c r="C4" s="133">
        <v>42.73</v>
      </c>
      <c r="D4" s="173">
        <v>35.520000000000003</v>
      </c>
      <c r="E4" s="133">
        <v>38.61</v>
      </c>
      <c r="F4" s="138">
        <f>SUM(C4:E4)</f>
        <v>116.86</v>
      </c>
      <c r="G4" s="136">
        <f>AVERAGE(C4:E4)</f>
        <v>38.953333333333333</v>
      </c>
      <c r="H4" s="147"/>
      <c r="I4" s="142" t="s">
        <v>108</v>
      </c>
      <c r="J4" s="170">
        <f>F7</f>
        <v>105.91</v>
      </c>
      <c r="K4" s="134">
        <f>F8</f>
        <v>101.43</v>
      </c>
      <c r="L4" s="134">
        <f>F9</f>
        <v>109.12</v>
      </c>
      <c r="M4" s="134">
        <f>SUM(J4:L4)</f>
        <v>316.46000000000004</v>
      </c>
      <c r="N4" s="136">
        <f>SUM(J4:L4)/9</f>
        <v>35.162222222222226</v>
      </c>
      <c r="O4" s="147"/>
      <c r="P4" s="137"/>
      <c r="Q4" s="137"/>
      <c r="R4" s="137"/>
      <c r="X4" s="166" t="s">
        <v>107</v>
      </c>
      <c r="Y4" s="166" t="s">
        <v>110</v>
      </c>
      <c r="Z4" s="166">
        <v>1</v>
      </c>
      <c r="AA4" s="167">
        <v>42.73</v>
      </c>
    </row>
    <row r="5" spans="1:27" ht="15.75" x14ac:dyDescent="0.25">
      <c r="B5" s="133" t="s">
        <v>97</v>
      </c>
      <c r="C5" s="133">
        <v>33.119999999999997</v>
      </c>
      <c r="D5" s="133">
        <v>31.23</v>
      </c>
      <c r="E5" s="133">
        <v>35.17</v>
      </c>
      <c r="F5" s="138">
        <f t="shared" ref="F5:F12" si="0">SUM(C5:E5)</f>
        <v>99.52</v>
      </c>
      <c r="G5" s="136">
        <f t="shared" ref="G5:G12" si="1">AVERAGE(C5:E5)</f>
        <v>33.173333333333332</v>
      </c>
      <c r="H5" s="147"/>
      <c r="I5" s="142" t="s">
        <v>109</v>
      </c>
      <c r="J5" s="170">
        <f>F10</f>
        <v>104.13</v>
      </c>
      <c r="K5" s="134">
        <f>F11</f>
        <v>101.34</v>
      </c>
      <c r="L5" s="134">
        <f>F12</f>
        <v>100.94</v>
      </c>
      <c r="M5" s="134">
        <f>SUM(J5:L5)</f>
        <v>306.40999999999997</v>
      </c>
      <c r="N5" s="136">
        <f>SUM(J5:L5)/9</f>
        <v>34.045555555555552</v>
      </c>
      <c r="O5" s="147"/>
      <c r="P5" s="157"/>
      <c r="Q5" s="157"/>
      <c r="R5" s="157"/>
      <c r="X5" s="166" t="s">
        <v>107</v>
      </c>
      <c r="Y5" s="166" t="s">
        <v>110</v>
      </c>
      <c r="Z5" s="166">
        <v>2</v>
      </c>
      <c r="AA5" s="167">
        <v>35.520000000000003</v>
      </c>
    </row>
    <row r="6" spans="1:27" ht="15.75" x14ac:dyDescent="0.25">
      <c r="B6" s="133" t="s">
        <v>98</v>
      </c>
      <c r="C6" s="133">
        <v>37.020000000000003</v>
      </c>
      <c r="D6" s="134">
        <v>34.049999999999997</v>
      </c>
      <c r="E6" s="133">
        <v>36.880000000000003</v>
      </c>
      <c r="F6" s="138">
        <f t="shared" si="0"/>
        <v>107.94999999999999</v>
      </c>
      <c r="G6" s="136">
        <f t="shared" si="1"/>
        <v>35.983333333333327</v>
      </c>
      <c r="H6" s="147"/>
      <c r="I6" s="143" t="s">
        <v>113</v>
      </c>
      <c r="J6" s="170">
        <f>SUM(J3:J5)</f>
        <v>326.89999999999998</v>
      </c>
      <c r="K6" s="134">
        <f>SUM(K3:K5)</f>
        <v>302.28999999999996</v>
      </c>
      <c r="L6" s="134">
        <f>SUM(L3:L5)</f>
        <v>318.01</v>
      </c>
      <c r="M6" s="151">
        <f>SUM(M3:M5)</f>
        <v>947.19999999999993</v>
      </c>
      <c r="N6" s="134"/>
      <c r="O6" s="150"/>
      <c r="P6" s="137"/>
      <c r="Q6" s="137"/>
      <c r="R6" s="137"/>
      <c r="X6" s="166" t="s">
        <v>107</v>
      </c>
      <c r="Y6" s="166" t="s">
        <v>110</v>
      </c>
      <c r="Z6" s="166">
        <v>3</v>
      </c>
      <c r="AA6" s="167">
        <v>38.61</v>
      </c>
    </row>
    <row r="7" spans="1:27" ht="15.75" x14ac:dyDescent="0.25">
      <c r="B7" s="133" t="s">
        <v>99</v>
      </c>
      <c r="C7" s="133">
        <v>38.549999999999997</v>
      </c>
      <c r="D7" s="134">
        <v>36.58</v>
      </c>
      <c r="E7" s="134">
        <v>30.78</v>
      </c>
      <c r="F7" s="138">
        <f t="shared" si="0"/>
        <v>105.91</v>
      </c>
      <c r="G7" s="136">
        <f t="shared" si="1"/>
        <v>35.303333333333335</v>
      </c>
      <c r="H7" s="147"/>
      <c r="I7" s="143" t="s">
        <v>95</v>
      </c>
      <c r="J7" s="136">
        <f>SUM(J3:J5)/9</f>
        <v>36.322222222222223</v>
      </c>
      <c r="K7" s="136">
        <f>SUM(K3:K5)/9</f>
        <v>33.587777777777774</v>
      </c>
      <c r="L7" s="136">
        <f>SUM(L3:L5)/9</f>
        <v>35.334444444444443</v>
      </c>
      <c r="M7" s="134"/>
      <c r="N7" s="134"/>
      <c r="O7" s="146"/>
      <c r="P7" s="137"/>
      <c r="Q7" s="157"/>
      <c r="R7" s="137"/>
      <c r="X7" s="166" t="s">
        <v>107</v>
      </c>
      <c r="Y7" s="166" t="s">
        <v>111</v>
      </c>
      <c r="Z7" s="166">
        <v>1</v>
      </c>
      <c r="AA7" s="167">
        <v>33.119999999999997</v>
      </c>
    </row>
    <row r="8" spans="1:27" ht="15.75" x14ac:dyDescent="0.25">
      <c r="B8" s="133" t="s">
        <v>100</v>
      </c>
      <c r="C8" s="133">
        <v>36.86</v>
      </c>
      <c r="D8" s="133">
        <v>33.14</v>
      </c>
      <c r="E8" s="133">
        <v>31.43</v>
      </c>
      <c r="F8" s="138">
        <f t="shared" si="0"/>
        <v>101.43</v>
      </c>
      <c r="G8" s="136">
        <f>AVERAGE(C8:E8)</f>
        <v>33.81</v>
      </c>
      <c r="H8" s="147"/>
      <c r="I8" s="137"/>
      <c r="J8" s="155"/>
      <c r="K8" s="137"/>
      <c r="L8" s="137"/>
      <c r="M8" s="137"/>
      <c r="N8" s="137"/>
      <c r="O8" s="137"/>
      <c r="P8" s="137"/>
      <c r="Q8" s="157"/>
      <c r="R8" s="137"/>
      <c r="X8" s="166" t="s">
        <v>107</v>
      </c>
      <c r="Y8" s="166" t="s">
        <v>111</v>
      </c>
      <c r="Z8" s="166">
        <v>2</v>
      </c>
      <c r="AA8" s="167">
        <v>31.23</v>
      </c>
    </row>
    <row r="9" spans="1:27" ht="15.75" x14ac:dyDescent="0.25">
      <c r="B9" s="133" t="s">
        <v>101</v>
      </c>
      <c r="C9" s="133">
        <v>31.17</v>
      </c>
      <c r="D9" s="133">
        <v>41.16</v>
      </c>
      <c r="E9" s="133">
        <v>36.79</v>
      </c>
      <c r="F9" s="138">
        <f t="shared" si="0"/>
        <v>109.12</v>
      </c>
      <c r="G9" s="136">
        <f>AVERAGE(C9:E9)</f>
        <v>36.373333333333335</v>
      </c>
      <c r="H9" s="147"/>
      <c r="I9" s="137" t="s">
        <v>119</v>
      </c>
      <c r="J9" s="157">
        <f>(SUMSQ(M3:M5)/(C16*C18))-C20</f>
        <v>17.928362962964457</v>
      </c>
      <c r="K9" s="137"/>
      <c r="L9" s="137"/>
      <c r="M9" s="137"/>
      <c r="N9" s="137"/>
      <c r="O9" s="137"/>
      <c r="P9" s="137"/>
      <c r="Q9" s="157"/>
      <c r="R9" s="137"/>
      <c r="X9" s="166" t="s">
        <v>107</v>
      </c>
      <c r="Y9" s="166" t="s">
        <v>111</v>
      </c>
      <c r="Z9" s="166">
        <v>3</v>
      </c>
      <c r="AA9" s="167">
        <v>35.17</v>
      </c>
    </row>
    <row r="10" spans="1:27" ht="15.75" x14ac:dyDescent="0.25">
      <c r="B10" s="133" t="s">
        <v>102</v>
      </c>
      <c r="C10" s="133">
        <v>33.229999999999997</v>
      </c>
      <c r="D10" s="133">
        <v>36.33</v>
      </c>
      <c r="E10" s="133">
        <v>34.57</v>
      </c>
      <c r="F10" s="138">
        <f t="shared" si="0"/>
        <v>104.13</v>
      </c>
      <c r="G10" s="136">
        <f t="shared" si="1"/>
        <v>34.71</v>
      </c>
      <c r="H10" s="147"/>
      <c r="I10" s="137" t="s">
        <v>120</v>
      </c>
      <c r="J10" s="157">
        <f>(SUMSQ(J6:L6)/(C17*C18))-C20</f>
        <v>34.511207407398615</v>
      </c>
      <c r="K10" s="137"/>
      <c r="L10" s="137"/>
      <c r="M10" s="137"/>
      <c r="N10" s="137"/>
      <c r="O10" s="137"/>
      <c r="P10" s="137"/>
      <c r="Q10" s="137"/>
      <c r="R10" s="137"/>
      <c r="X10" s="166" t="s">
        <v>107</v>
      </c>
      <c r="Y10" s="166" t="s">
        <v>112</v>
      </c>
      <c r="Z10" s="166">
        <v>1</v>
      </c>
      <c r="AA10" s="167">
        <v>37.020000000000003</v>
      </c>
    </row>
    <row r="11" spans="1:27" ht="15.75" x14ac:dyDescent="0.25">
      <c r="B11" s="133" t="s">
        <v>103</v>
      </c>
      <c r="C11" s="133">
        <v>32.96</v>
      </c>
      <c r="D11" s="134">
        <v>33.96</v>
      </c>
      <c r="E11" s="133">
        <v>34.42</v>
      </c>
      <c r="F11" s="138">
        <f t="shared" si="0"/>
        <v>101.34</v>
      </c>
      <c r="G11" s="136">
        <f t="shared" si="1"/>
        <v>33.78</v>
      </c>
      <c r="H11" s="147"/>
      <c r="I11" s="156" t="s">
        <v>134</v>
      </c>
      <c r="J11" s="157">
        <f>C23-J9-J10</f>
        <v>27.573170370371372</v>
      </c>
      <c r="K11" s="137"/>
      <c r="L11" s="137"/>
      <c r="M11" s="137"/>
      <c r="N11" s="137"/>
      <c r="O11" s="137"/>
      <c r="P11" s="137"/>
      <c r="Q11" s="137"/>
      <c r="R11" s="137"/>
      <c r="X11" s="166" t="s">
        <v>107</v>
      </c>
      <c r="Y11" s="166" t="s">
        <v>112</v>
      </c>
      <c r="Z11" s="166">
        <v>2</v>
      </c>
      <c r="AA11" s="167">
        <v>34.049999999999997</v>
      </c>
    </row>
    <row r="12" spans="1:27" ht="15.75" x14ac:dyDescent="0.25">
      <c r="B12" s="133" t="s">
        <v>104</v>
      </c>
      <c r="C12" s="134">
        <v>33.94</v>
      </c>
      <c r="D12" s="133">
        <v>33.880000000000003</v>
      </c>
      <c r="E12" s="133">
        <v>33.119999999999997</v>
      </c>
      <c r="F12" s="138">
        <f t="shared" si="0"/>
        <v>100.94</v>
      </c>
      <c r="G12" s="136">
        <f t="shared" si="1"/>
        <v>33.646666666666668</v>
      </c>
      <c r="H12" s="14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X12" s="166" t="s">
        <v>107</v>
      </c>
      <c r="Y12" s="166" t="s">
        <v>112</v>
      </c>
      <c r="Z12" s="166">
        <v>3</v>
      </c>
      <c r="AA12" s="167">
        <v>36.880000000000003</v>
      </c>
    </row>
    <row r="13" spans="1:27" ht="15.75" x14ac:dyDescent="0.25">
      <c r="B13" s="143" t="s">
        <v>94</v>
      </c>
      <c r="C13" s="134">
        <f>SUM(C4:C12)</f>
        <v>319.58000000000004</v>
      </c>
      <c r="D13" s="134">
        <f>SUM(D4:D12)</f>
        <v>315.84999999999997</v>
      </c>
      <c r="E13" s="134">
        <f>SUM(E4:E12)</f>
        <v>311.77</v>
      </c>
      <c r="F13" s="171">
        <f>SUM(F4:F12)</f>
        <v>947.2</v>
      </c>
      <c r="G13" s="133"/>
      <c r="H13" s="148"/>
      <c r="I13" s="154" t="s">
        <v>121</v>
      </c>
      <c r="J13" s="137"/>
      <c r="K13" s="137"/>
      <c r="L13" s="137"/>
      <c r="M13" s="137"/>
      <c r="N13" s="137"/>
      <c r="O13" s="137"/>
      <c r="P13" s="137"/>
      <c r="Q13" s="137"/>
      <c r="R13" s="137"/>
      <c r="X13" s="166" t="s">
        <v>108</v>
      </c>
      <c r="Y13" s="166" t="s">
        <v>110</v>
      </c>
      <c r="Z13" s="166">
        <v>1</v>
      </c>
      <c r="AA13" s="167">
        <v>38.549999999999997</v>
      </c>
    </row>
    <row r="14" spans="1:27" ht="15.75" x14ac:dyDescent="0.25">
      <c r="B14" s="143" t="s">
        <v>95</v>
      </c>
      <c r="C14" s="158">
        <f>AVERAGE(C4:C12)</f>
        <v>35.50888888888889</v>
      </c>
      <c r="D14" s="158">
        <f>AVERAGE(D4:D12)</f>
        <v>35.094444444444441</v>
      </c>
      <c r="E14" s="158">
        <f>AVERAGE(E4:E12)</f>
        <v>34.641111111111108</v>
      </c>
      <c r="F14" s="160"/>
      <c r="G14" s="133"/>
      <c r="H14" s="148"/>
      <c r="I14" s="140" t="s">
        <v>122</v>
      </c>
      <c r="J14" s="159" t="s">
        <v>123</v>
      </c>
      <c r="K14" s="135" t="s">
        <v>124</v>
      </c>
      <c r="L14" s="135" t="s">
        <v>125</v>
      </c>
      <c r="M14" s="135" t="s">
        <v>126</v>
      </c>
      <c r="N14" s="135" t="s">
        <v>127</v>
      </c>
      <c r="O14" s="152" t="s">
        <v>135</v>
      </c>
      <c r="P14" s="135" t="s">
        <v>128</v>
      </c>
      <c r="Q14" s="137"/>
      <c r="R14" s="137"/>
      <c r="X14" s="166" t="s">
        <v>108</v>
      </c>
      <c r="Y14" s="166" t="s">
        <v>110</v>
      </c>
      <c r="Z14" s="166">
        <v>2</v>
      </c>
      <c r="AA14" s="167">
        <v>36.58</v>
      </c>
    </row>
    <row r="15" spans="1:27" ht="15.75" x14ac:dyDescent="0.25">
      <c r="B15" s="137"/>
      <c r="C15" s="137"/>
      <c r="D15" s="137"/>
      <c r="E15" s="137"/>
      <c r="F15" s="137"/>
      <c r="G15" s="137"/>
      <c r="H15" s="148"/>
      <c r="I15" s="133" t="s">
        <v>129</v>
      </c>
      <c r="J15" s="168">
        <f>C18-1</f>
        <v>2</v>
      </c>
      <c r="K15" s="134">
        <f>C22</f>
        <v>3.3909407407336403</v>
      </c>
      <c r="L15" s="134">
        <f t="shared" ref="L15:L20" si="2">K15/J15</f>
        <v>1.6954703703668201</v>
      </c>
      <c r="M15" s="139">
        <f>L15/L$20</f>
        <v>0.19275653963742187</v>
      </c>
      <c r="N15" s="139">
        <f>FINV(0.05,J15,J$20)</f>
        <v>3.6337234675916301</v>
      </c>
      <c r="O15" s="139">
        <f>FINV(0.01,J15,J$20)</f>
        <v>6.2262352803113821</v>
      </c>
      <c r="P15" s="133" t="s">
        <v>142</v>
      </c>
      <c r="Q15" s="137"/>
      <c r="R15" s="165"/>
      <c r="X15" s="166" t="s">
        <v>108</v>
      </c>
      <c r="Y15" s="166" t="s">
        <v>110</v>
      </c>
      <c r="Z15" s="166">
        <v>3</v>
      </c>
      <c r="AA15" s="167">
        <v>30.78</v>
      </c>
    </row>
    <row r="16" spans="1:27" ht="15" customHeight="1" x14ac:dyDescent="0.25">
      <c r="B16" s="148" t="s">
        <v>153</v>
      </c>
      <c r="C16" s="130">
        <v>3</v>
      </c>
      <c r="D16" s="137"/>
      <c r="E16" s="137"/>
      <c r="F16" s="137"/>
      <c r="G16" s="137"/>
      <c r="H16" s="148"/>
      <c r="I16" s="133" t="s">
        <v>93</v>
      </c>
      <c r="J16" s="168">
        <f>(C16*C17)-1</f>
        <v>8</v>
      </c>
      <c r="K16" s="134">
        <f>C23</f>
        <v>80.012740740734444</v>
      </c>
      <c r="L16" s="134">
        <f t="shared" si="2"/>
        <v>10.001592592591805</v>
      </c>
      <c r="M16" s="139">
        <f>L16/L$20</f>
        <v>1.137072291386706</v>
      </c>
      <c r="N16" s="139">
        <f>FINV(0.05,J16,J$20)</f>
        <v>2.5910961798744014</v>
      </c>
      <c r="O16" s="139">
        <f>FINV(0.01,J16,J$20)</f>
        <v>3.8895721399261927</v>
      </c>
      <c r="P16" s="133" t="s">
        <v>142</v>
      </c>
      <c r="Q16" s="137"/>
      <c r="R16" s="165"/>
      <c r="X16" s="166" t="s">
        <v>108</v>
      </c>
      <c r="Y16" s="166" t="s">
        <v>111</v>
      </c>
      <c r="Z16" s="166">
        <v>1</v>
      </c>
      <c r="AA16" s="167">
        <v>36.86</v>
      </c>
    </row>
    <row r="17" spans="2:27" ht="15.75" x14ac:dyDescent="0.25">
      <c r="B17" s="130" t="s">
        <v>131</v>
      </c>
      <c r="C17" s="130">
        <v>3</v>
      </c>
      <c r="D17" s="137"/>
      <c r="E17" s="137"/>
      <c r="F17" s="137"/>
      <c r="G17" s="137"/>
      <c r="H17" s="148"/>
      <c r="I17" s="133" t="s">
        <v>130</v>
      </c>
      <c r="J17" s="168">
        <f>C16-1</f>
        <v>2</v>
      </c>
      <c r="K17" s="134">
        <f>J9</f>
        <v>17.928362962964457</v>
      </c>
      <c r="L17" s="134">
        <f t="shared" si="2"/>
        <v>8.9641814814822283</v>
      </c>
      <c r="M17" s="139">
        <f>L17/L$20</f>
        <v>1.019129931877568</v>
      </c>
      <c r="N17" s="139">
        <f>FINV(0.05,J17,J$20)</f>
        <v>3.6337234675916301</v>
      </c>
      <c r="O17" s="139">
        <f>FINV(0.01,J17,J$20)</f>
        <v>6.2262352803113821</v>
      </c>
      <c r="P17" s="133" t="s">
        <v>142</v>
      </c>
      <c r="Q17" s="137"/>
      <c r="R17" s="165"/>
      <c r="X17" s="166" t="s">
        <v>108</v>
      </c>
      <c r="Y17" s="166" t="s">
        <v>111</v>
      </c>
      <c r="Z17" s="166">
        <v>2</v>
      </c>
      <c r="AA17" s="167">
        <v>33.14</v>
      </c>
    </row>
    <row r="18" spans="2:27" ht="15.75" x14ac:dyDescent="0.25">
      <c r="B18" s="130" t="s">
        <v>105</v>
      </c>
      <c r="C18" s="130">
        <v>3</v>
      </c>
      <c r="D18" s="137"/>
      <c r="E18" s="137"/>
      <c r="F18" s="137"/>
      <c r="G18" s="137"/>
      <c r="H18" s="148"/>
      <c r="I18" s="133" t="s">
        <v>131</v>
      </c>
      <c r="J18" s="168">
        <f>C17-1</f>
        <v>2</v>
      </c>
      <c r="K18" s="134">
        <f>J10</f>
        <v>34.511207407398615</v>
      </c>
      <c r="L18" s="134">
        <f t="shared" si="2"/>
        <v>17.255603703699308</v>
      </c>
      <c r="M18" s="139">
        <f>L18/L$20</f>
        <v>1.9617744535164838</v>
      </c>
      <c r="N18" s="139">
        <f>FINV(0.05,J18,J$20)</f>
        <v>3.6337234675916301</v>
      </c>
      <c r="O18" s="139">
        <f>FINV(0.01,J18,J$20)</f>
        <v>6.2262352803113821</v>
      </c>
      <c r="P18" s="133" t="s">
        <v>142</v>
      </c>
      <c r="Q18" s="137"/>
      <c r="R18" s="165"/>
      <c r="X18" s="166" t="s">
        <v>108</v>
      </c>
      <c r="Y18" s="166" t="s">
        <v>111</v>
      </c>
      <c r="Z18" s="166">
        <v>3</v>
      </c>
      <c r="AA18" s="167">
        <v>31.43</v>
      </c>
    </row>
    <row r="19" spans="2:27" ht="15.75" x14ac:dyDescent="0.25">
      <c r="D19" s="137"/>
      <c r="E19" s="137"/>
      <c r="F19" s="137"/>
      <c r="G19" s="137"/>
      <c r="H19" s="148"/>
      <c r="I19" s="133" t="s">
        <v>132</v>
      </c>
      <c r="J19" s="168">
        <f>J17*J18</f>
        <v>4</v>
      </c>
      <c r="K19" s="134">
        <f>J11</f>
        <v>27.573170370371372</v>
      </c>
      <c r="L19" s="134">
        <f t="shared" si="2"/>
        <v>6.893292592592843</v>
      </c>
      <c r="M19" s="139">
        <f>L19/L$20</f>
        <v>0.78369239007638614</v>
      </c>
      <c r="N19" s="139">
        <f>FINV(0.05,J19,J$20)</f>
        <v>3.0069172799243447</v>
      </c>
      <c r="O19" s="139">
        <f>FINV(0.01,J19,J$20)</f>
        <v>4.772577999723211</v>
      </c>
      <c r="P19" s="133" t="s">
        <v>142</v>
      </c>
      <c r="Q19" s="137"/>
      <c r="R19" s="137"/>
      <c r="X19" s="166" t="s">
        <v>108</v>
      </c>
      <c r="Y19" s="166" t="s">
        <v>112</v>
      </c>
      <c r="Z19" s="166">
        <v>1</v>
      </c>
      <c r="AA19" s="167">
        <v>31.17</v>
      </c>
    </row>
    <row r="20" spans="2:27" ht="15.75" x14ac:dyDescent="0.25">
      <c r="B20" s="130" t="s">
        <v>114</v>
      </c>
      <c r="C20" s="132">
        <f>(F13^2)/(C16*C17*C18)</f>
        <v>33229.179259259261</v>
      </c>
      <c r="D20" s="137"/>
      <c r="E20" s="137"/>
      <c r="F20" s="137"/>
      <c r="G20" s="137"/>
      <c r="H20" s="148"/>
      <c r="I20" s="133" t="s">
        <v>133</v>
      </c>
      <c r="J20" s="168">
        <f>(C18-1)*((C16*C17)-1)</f>
        <v>16</v>
      </c>
      <c r="K20" s="134">
        <f>C24</f>
        <v>140.73465925927303</v>
      </c>
      <c r="L20" s="136">
        <f t="shared" si="2"/>
        <v>8.7959162037045644</v>
      </c>
      <c r="M20" s="144"/>
      <c r="N20" s="144"/>
      <c r="O20" s="144"/>
      <c r="P20" s="144"/>
      <c r="Q20" s="137"/>
      <c r="R20" s="137"/>
      <c r="X20" s="166" t="s">
        <v>108</v>
      </c>
      <c r="Y20" s="166" t="s">
        <v>112</v>
      </c>
      <c r="Z20" s="166">
        <v>2</v>
      </c>
      <c r="AA20" s="167">
        <v>41.16</v>
      </c>
    </row>
    <row r="21" spans="2:27" ht="15.75" x14ac:dyDescent="0.25">
      <c r="B21" s="130" t="s">
        <v>115</v>
      </c>
      <c r="C21" s="132">
        <f>(SUMSQ(C4:E12))-C20</f>
        <v>224.13834074074111</v>
      </c>
      <c r="D21" s="137"/>
      <c r="E21" s="137"/>
      <c r="F21" s="137"/>
      <c r="G21" s="137"/>
      <c r="H21" s="148"/>
      <c r="I21" s="133" t="s">
        <v>94</v>
      </c>
      <c r="J21" s="168">
        <f>J15+J16+J20</f>
        <v>26</v>
      </c>
      <c r="K21" s="134">
        <f>C21</f>
        <v>224.13834074074111</v>
      </c>
      <c r="L21" s="164"/>
      <c r="M21" s="144"/>
      <c r="N21" s="144"/>
      <c r="O21" s="144"/>
      <c r="P21" s="144"/>
      <c r="Q21" s="137"/>
      <c r="R21" s="137"/>
      <c r="X21" s="166" t="s">
        <v>108</v>
      </c>
      <c r="Y21" s="166" t="s">
        <v>112</v>
      </c>
      <c r="Z21" s="166">
        <v>3</v>
      </c>
      <c r="AA21" s="167">
        <v>36.79</v>
      </c>
    </row>
    <row r="22" spans="2:27" ht="15.75" x14ac:dyDescent="0.25">
      <c r="B22" s="130" t="s">
        <v>116</v>
      </c>
      <c r="C22" s="132">
        <f>(SUMSQ(C13:E13)/(C16*C17))-C20</f>
        <v>3.3909407407336403</v>
      </c>
      <c r="D22" s="137"/>
      <c r="E22" s="137"/>
      <c r="F22" s="137"/>
      <c r="G22" s="137"/>
      <c r="H22" s="148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X22" s="166" t="s">
        <v>109</v>
      </c>
      <c r="Y22" s="166" t="s">
        <v>110</v>
      </c>
      <c r="Z22" s="166">
        <v>1</v>
      </c>
      <c r="AA22" s="167">
        <v>33.229999999999997</v>
      </c>
    </row>
    <row r="23" spans="2:27" ht="15.75" x14ac:dyDescent="0.25">
      <c r="B23" s="130" t="s">
        <v>117</v>
      </c>
      <c r="C23" s="132">
        <f>(SUMSQ(F4:F12)/C18)-C20</f>
        <v>80.012740740734444</v>
      </c>
      <c r="D23" s="137"/>
      <c r="E23" s="137"/>
      <c r="F23" s="137"/>
      <c r="G23" s="137"/>
      <c r="H23" s="148"/>
      <c r="X23" s="166" t="s">
        <v>109</v>
      </c>
      <c r="Y23" s="166" t="s">
        <v>110</v>
      </c>
      <c r="Z23" s="166">
        <v>2</v>
      </c>
      <c r="AA23" s="167">
        <v>36.33</v>
      </c>
    </row>
    <row r="24" spans="2:27" ht="15.75" x14ac:dyDescent="0.25">
      <c r="B24" s="130" t="s">
        <v>118</v>
      </c>
      <c r="C24" s="132">
        <f>C21-C22-C23</f>
        <v>140.73465925927303</v>
      </c>
      <c r="D24" s="137"/>
      <c r="E24" s="137"/>
      <c r="F24" s="137"/>
      <c r="G24" s="137"/>
      <c r="H24" s="148"/>
      <c r="X24" s="166" t="s">
        <v>109</v>
      </c>
      <c r="Y24" s="166" t="s">
        <v>110</v>
      </c>
      <c r="Z24" s="166">
        <v>3</v>
      </c>
      <c r="AA24" s="167">
        <v>34.57</v>
      </c>
    </row>
    <row r="25" spans="2:27" ht="14.25" customHeight="1" x14ac:dyDescent="0.25">
      <c r="C25" s="131"/>
      <c r="H25" s="148"/>
      <c r="X25" s="166" t="s">
        <v>109</v>
      </c>
      <c r="Y25" s="166" t="s">
        <v>111</v>
      </c>
      <c r="Z25" s="166">
        <v>1</v>
      </c>
      <c r="AA25" s="167">
        <v>32.96</v>
      </c>
    </row>
    <row r="26" spans="2:27" ht="15.75" x14ac:dyDescent="0.25">
      <c r="H26" s="137"/>
      <c r="X26" s="166" t="s">
        <v>109</v>
      </c>
      <c r="Y26" s="166" t="s">
        <v>111</v>
      </c>
      <c r="Z26" s="166">
        <v>2</v>
      </c>
      <c r="AA26" s="167">
        <v>33.96</v>
      </c>
    </row>
    <row r="27" spans="2:27" ht="15.75" x14ac:dyDescent="0.25">
      <c r="H27" s="137"/>
      <c r="X27" s="166" t="s">
        <v>109</v>
      </c>
      <c r="Y27" s="166" t="s">
        <v>111</v>
      </c>
      <c r="Z27" s="166">
        <v>3</v>
      </c>
      <c r="AA27" s="167">
        <v>34.42</v>
      </c>
    </row>
    <row r="28" spans="2:27" ht="15.75" x14ac:dyDescent="0.25">
      <c r="H28" s="137"/>
      <c r="X28" s="166" t="s">
        <v>109</v>
      </c>
      <c r="Y28" s="166" t="s">
        <v>112</v>
      </c>
      <c r="Z28" s="166">
        <v>1</v>
      </c>
      <c r="AA28" s="167">
        <v>33.94</v>
      </c>
    </row>
    <row r="29" spans="2:27" ht="15.75" x14ac:dyDescent="0.25">
      <c r="H29" s="137"/>
      <c r="X29" s="166" t="s">
        <v>109</v>
      </c>
      <c r="Y29" s="166" t="s">
        <v>112</v>
      </c>
      <c r="Z29" s="166">
        <v>2</v>
      </c>
      <c r="AA29" s="167">
        <v>33.880000000000003</v>
      </c>
    </row>
    <row r="30" spans="2:27" ht="15.75" x14ac:dyDescent="0.25">
      <c r="H30" s="137"/>
      <c r="X30" s="166" t="s">
        <v>109</v>
      </c>
      <c r="Y30" s="166" t="s">
        <v>112</v>
      </c>
      <c r="Z30" s="166">
        <v>3</v>
      </c>
      <c r="AA30" s="167">
        <v>33.119999999999997</v>
      </c>
    </row>
    <row r="31" spans="2:27" x14ac:dyDescent="0.25">
      <c r="H31" s="137"/>
    </row>
    <row r="32" spans="2:27" x14ac:dyDescent="0.25">
      <c r="H32" s="137"/>
    </row>
    <row r="33" spans="8:8" x14ac:dyDescent="0.25">
      <c r="H33" s="137"/>
    </row>
    <row r="34" spans="8:8" x14ac:dyDescent="0.25">
      <c r="H34" s="137"/>
    </row>
    <row r="35" spans="8:8" x14ac:dyDescent="0.25">
      <c r="H35" s="137"/>
    </row>
    <row r="36" spans="8:8" x14ac:dyDescent="0.25">
      <c r="H36" s="137"/>
    </row>
    <row r="37" spans="8:8" x14ac:dyDescent="0.25">
      <c r="H37" s="137"/>
    </row>
    <row r="38" spans="8:8" x14ac:dyDescent="0.25">
      <c r="H38" s="137"/>
    </row>
  </sheetData>
  <mergeCells count="5">
    <mergeCell ref="X1:AA1"/>
    <mergeCell ref="B2:B3"/>
    <mergeCell ref="C2:E2"/>
    <mergeCell ref="F2:F3"/>
    <mergeCell ref="G2:G3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ED89F-054D-4D31-B4D1-E64745D42A33}">
  <dimension ref="B1:AA52"/>
  <sheetViews>
    <sheetView topLeftCell="I1" zoomScale="71" zoomScaleNormal="71" workbookViewId="0">
      <selection activeCell="J15" sqref="J15:P21"/>
    </sheetView>
  </sheetViews>
  <sheetFormatPr defaultRowHeight="15" x14ac:dyDescent="0.25"/>
  <cols>
    <col min="2" max="2" width="13.85546875" customWidth="1"/>
    <col min="3" max="3" width="12.7109375" customWidth="1"/>
    <col min="6" max="6" width="11" bestFit="1" customWidth="1"/>
    <col min="7" max="7" width="13.5703125" bestFit="1" customWidth="1"/>
    <col min="8" max="8" width="13.140625" bestFit="1" customWidth="1"/>
    <col min="9" max="9" width="23.42578125" bestFit="1" customWidth="1"/>
    <col min="10" max="10" width="12.5703125" bestFit="1" customWidth="1"/>
    <col min="11" max="11" width="19.85546875" bestFit="1" customWidth="1"/>
    <col min="12" max="12" width="13" customWidth="1"/>
    <col min="13" max="13" width="11" bestFit="1" customWidth="1"/>
    <col min="14" max="14" width="13.5703125" bestFit="1" customWidth="1"/>
    <col min="15" max="15" width="16.42578125" bestFit="1" customWidth="1"/>
    <col min="16" max="16" width="12.5703125" customWidth="1"/>
    <col min="19" max="19" width="26.5703125" bestFit="1" customWidth="1"/>
    <col min="20" max="20" width="25.140625" bestFit="1" customWidth="1"/>
    <col min="21" max="21" width="10.5703125" bestFit="1" customWidth="1"/>
    <col min="22" max="22" width="13.85546875" bestFit="1" customWidth="1"/>
    <col min="24" max="24" width="25.7109375" bestFit="1" customWidth="1"/>
    <col min="25" max="25" width="24.28515625" bestFit="1" customWidth="1"/>
    <col min="26" max="26" width="10.5703125" bestFit="1" customWidth="1"/>
    <col min="27" max="27" width="12.140625" bestFit="1" customWidth="1"/>
  </cols>
  <sheetData>
    <row r="1" spans="2:27" ht="15.75" x14ac:dyDescent="0.25">
      <c r="B1" t="s">
        <v>139</v>
      </c>
      <c r="H1" s="29"/>
      <c r="I1" s="57" t="s">
        <v>106</v>
      </c>
      <c r="J1" s="58"/>
      <c r="K1" s="36"/>
      <c r="L1" s="36"/>
      <c r="M1" s="36"/>
      <c r="N1" s="36"/>
      <c r="O1" s="59"/>
      <c r="P1" s="36"/>
      <c r="Q1" s="36"/>
      <c r="R1" s="15"/>
      <c r="X1" s="176" t="s">
        <v>163</v>
      </c>
      <c r="Y1" s="176"/>
      <c r="Z1" s="176"/>
      <c r="AA1" s="176"/>
    </row>
    <row r="2" spans="2:27" x14ac:dyDescent="0.25">
      <c r="B2" s="180" t="s">
        <v>93</v>
      </c>
      <c r="C2" s="182" t="s">
        <v>90</v>
      </c>
      <c r="D2" s="183"/>
      <c r="E2" s="184"/>
      <c r="F2" s="185" t="s">
        <v>94</v>
      </c>
      <c r="G2" s="187" t="s">
        <v>95</v>
      </c>
      <c r="H2" s="25"/>
      <c r="I2" s="21" t="s">
        <v>93</v>
      </c>
      <c r="J2" s="72" t="s">
        <v>110</v>
      </c>
      <c r="K2" s="21" t="s">
        <v>111</v>
      </c>
      <c r="L2" s="21" t="s">
        <v>112</v>
      </c>
      <c r="M2" s="21" t="s">
        <v>94</v>
      </c>
      <c r="N2" s="21" t="s">
        <v>95</v>
      </c>
      <c r="O2" s="30"/>
      <c r="P2" s="15"/>
      <c r="Q2" s="15"/>
      <c r="R2" s="15"/>
    </row>
    <row r="3" spans="2:27" ht="15.75" x14ac:dyDescent="0.25">
      <c r="B3" s="181"/>
      <c r="C3" s="55" t="s">
        <v>91</v>
      </c>
      <c r="D3" s="55" t="s">
        <v>92</v>
      </c>
      <c r="E3" s="55" t="s">
        <v>198</v>
      </c>
      <c r="F3" s="186"/>
      <c r="G3" s="187"/>
      <c r="H3" s="25"/>
      <c r="I3" s="22" t="s">
        <v>107</v>
      </c>
      <c r="J3" s="74">
        <f>F4</f>
        <v>21.520000000000003</v>
      </c>
      <c r="K3" s="11">
        <f>F5</f>
        <v>14.5</v>
      </c>
      <c r="L3" s="11">
        <f>F6</f>
        <v>21.96</v>
      </c>
      <c r="M3" s="11">
        <f>SUM(J3:L3)</f>
        <v>57.980000000000004</v>
      </c>
      <c r="N3" s="14">
        <f>SUM(J3:L3)/9</f>
        <v>6.442222222222223</v>
      </c>
      <c r="O3" s="28"/>
      <c r="P3" s="15"/>
      <c r="Q3" s="15"/>
      <c r="R3" s="15"/>
      <c r="X3" s="68" t="s">
        <v>164</v>
      </c>
      <c r="Y3" s="68" t="s">
        <v>166</v>
      </c>
      <c r="Z3" s="68" t="s">
        <v>90</v>
      </c>
      <c r="AA3" s="68" t="s">
        <v>193</v>
      </c>
    </row>
    <row r="4" spans="2:27" ht="15.75" x14ac:dyDescent="0.25">
      <c r="B4" s="9" t="s">
        <v>96</v>
      </c>
      <c r="C4" s="9">
        <v>7.05</v>
      </c>
      <c r="D4" s="128">
        <v>6</v>
      </c>
      <c r="E4" s="9">
        <v>8.4700000000000006</v>
      </c>
      <c r="F4" s="16">
        <f>SUM(C4:E4)</f>
        <v>21.520000000000003</v>
      </c>
      <c r="G4" s="14">
        <f>AVERAGE(C4:E4)</f>
        <v>7.1733333333333347</v>
      </c>
      <c r="H4" s="28"/>
      <c r="I4" s="22" t="s">
        <v>108</v>
      </c>
      <c r="J4" s="74">
        <f>F7</f>
        <v>17.16</v>
      </c>
      <c r="K4" s="11">
        <f>F8</f>
        <v>14.52</v>
      </c>
      <c r="L4" s="11">
        <f>F9</f>
        <v>19.909999999999997</v>
      </c>
      <c r="M4" s="11">
        <f>SUM(J4:L4)</f>
        <v>51.589999999999996</v>
      </c>
      <c r="N4" s="14">
        <f>SUM(J4:L4)/9</f>
        <v>5.7322222222222221</v>
      </c>
      <c r="O4" s="28"/>
      <c r="P4" s="15"/>
      <c r="Q4" s="15"/>
      <c r="R4" s="15"/>
      <c r="X4" s="68" t="s">
        <v>107</v>
      </c>
      <c r="Y4" s="68" t="s">
        <v>110</v>
      </c>
      <c r="Z4" s="68">
        <v>1</v>
      </c>
      <c r="AA4" s="69">
        <v>7.05</v>
      </c>
    </row>
    <row r="5" spans="2:27" ht="15.75" x14ac:dyDescent="0.25">
      <c r="B5" s="9" t="s">
        <v>97</v>
      </c>
      <c r="C5" s="9">
        <v>4.75</v>
      </c>
      <c r="D5" s="9">
        <v>3.83</v>
      </c>
      <c r="E5" s="9">
        <v>5.92</v>
      </c>
      <c r="F5" s="16">
        <f t="shared" ref="F5:F12" si="0">SUM(C5:E5)</f>
        <v>14.5</v>
      </c>
      <c r="G5" s="14">
        <f t="shared" ref="G5:G12" si="1">AVERAGE(C5:E5)</f>
        <v>4.833333333333333</v>
      </c>
      <c r="H5" s="28"/>
      <c r="I5" s="22" t="s">
        <v>109</v>
      </c>
      <c r="J5" s="74">
        <f>F10</f>
        <v>18.329999999999998</v>
      </c>
      <c r="K5" s="11">
        <f>F11</f>
        <v>17.670000000000002</v>
      </c>
      <c r="L5" s="11">
        <f>F12</f>
        <v>19.84</v>
      </c>
      <c r="M5" s="11">
        <f>SUM(J5:L5)</f>
        <v>55.84</v>
      </c>
      <c r="N5" s="14">
        <f>SUM(J5:L5)/9</f>
        <v>6.2044444444444444</v>
      </c>
      <c r="O5" s="28"/>
      <c r="P5" s="42"/>
      <c r="Q5" s="42"/>
      <c r="R5" s="42"/>
      <c r="X5" s="68" t="s">
        <v>107</v>
      </c>
      <c r="Y5" s="68" t="s">
        <v>110</v>
      </c>
      <c r="Z5" s="68">
        <v>2</v>
      </c>
      <c r="AA5" s="69">
        <v>6</v>
      </c>
    </row>
    <row r="6" spans="2:27" ht="15.75" x14ac:dyDescent="0.25">
      <c r="B6" s="9" t="s">
        <v>98</v>
      </c>
      <c r="C6" s="9">
        <v>7.94</v>
      </c>
      <c r="D6" s="11">
        <v>6.59</v>
      </c>
      <c r="E6" s="9">
        <v>7.43</v>
      </c>
      <c r="F6" s="16">
        <f t="shared" si="0"/>
        <v>21.96</v>
      </c>
      <c r="G6" s="14">
        <f t="shared" si="1"/>
        <v>7.32</v>
      </c>
      <c r="H6" s="28"/>
      <c r="I6" s="23" t="s">
        <v>113</v>
      </c>
      <c r="J6" s="74">
        <f>SUM(J3:J5)</f>
        <v>57.010000000000005</v>
      </c>
      <c r="K6" s="11">
        <f>SUM(K3:K5)</f>
        <v>46.69</v>
      </c>
      <c r="L6" s="11">
        <f>SUM(L3:L5)</f>
        <v>61.709999999999994</v>
      </c>
      <c r="M6" s="32">
        <f>SUM(M3:M5)</f>
        <v>165.41</v>
      </c>
      <c r="N6" s="11"/>
      <c r="O6" s="31"/>
      <c r="P6" s="15"/>
      <c r="Q6" s="15"/>
      <c r="R6" s="15"/>
      <c r="X6" s="68" t="s">
        <v>107</v>
      </c>
      <c r="Y6" s="68" t="s">
        <v>110</v>
      </c>
      <c r="Z6" s="68">
        <v>3</v>
      </c>
      <c r="AA6" s="69">
        <v>8.4700000000000006</v>
      </c>
    </row>
    <row r="7" spans="2:27" ht="15.75" x14ac:dyDescent="0.25">
      <c r="B7" s="9" t="s">
        <v>99</v>
      </c>
      <c r="C7" s="9">
        <v>7.56</v>
      </c>
      <c r="D7" s="11">
        <v>6.4</v>
      </c>
      <c r="E7" s="11">
        <v>3.2</v>
      </c>
      <c r="F7" s="16">
        <f t="shared" si="0"/>
        <v>17.16</v>
      </c>
      <c r="G7" s="14">
        <f t="shared" si="1"/>
        <v>5.72</v>
      </c>
      <c r="H7" s="28"/>
      <c r="I7" s="23" t="s">
        <v>95</v>
      </c>
      <c r="J7" s="14">
        <f>SUM(J3:J5)/9</f>
        <v>6.3344444444444452</v>
      </c>
      <c r="K7" s="14">
        <f>SUM(K3:K5)/9</f>
        <v>5.1877777777777778</v>
      </c>
      <c r="L7" s="14">
        <f>SUM(L3:L5)/9</f>
        <v>6.8566666666666656</v>
      </c>
      <c r="M7" s="11"/>
      <c r="N7" s="11"/>
      <c r="O7" s="26"/>
      <c r="P7" s="15"/>
      <c r="Q7" s="42"/>
      <c r="R7" s="15"/>
      <c r="X7" s="68" t="s">
        <v>107</v>
      </c>
      <c r="Y7" s="68" t="s">
        <v>111</v>
      </c>
      <c r="Z7" s="68">
        <v>1</v>
      </c>
      <c r="AA7" s="69">
        <v>4.75</v>
      </c>
    </row>
    <row r="8" spans="2:27" ht="15.75" x14ac:dyDescent="0.25">
      <c r="B8" s="9" t="s">
        <v>100</v>
      </c>
      <c r="C8" s="9">
        <v>6.33</v>
      </c>
      <c r="D8" s="9">
        <v>4.2699999999999996</v>
      </c>
      <c r="E8" s="9">
        <v>3.92</v>
      </c>
      <c r="F8" s="16">
        <f t="shared" si="0"/>
        <v>14.52</v>
      </c>
      <c r="G8" s="14">
        <f>AVERAGE(C8:E8)</f>
        <v>4.84</v>
      </c>
      <c r="H8" s="28"/>
      <c r="I8" s="15"/>
      <c r="J8" s="39"/>
      <c r="K8" s="15"/>
      <c r="L8" s="15"/>
      <c r="M8" s="15"/>
      <c r="N8" s="15"/>
      <c r="O8" s="15"/>
      <c r="P8" s="15"/>
      <c r="Q8" s="42"/>
      <c r="R8" s="15"/>
      <c r="X8" s="68" t="s">
        <v>107</v>
      </c>
      <c r="Y8" s="68" t="s">
        <v>111</v>
      </c>
      <c r="Z8" s="68">
        <v>2</v>
      </c>
      <c r="AA8" s="69">
        <v>3.83</v>
      </c>
    </row>
    <row r="9" spans="2:27" ht="15.75" x14ac:dyDescent="0.25">
      <c r="B9" s="9" t="s">
        <v>101</v>
      </c>
      <c r="C9" s="9">
        <v>5.36</v>
      </c>
      <c r="D9" s="9">
        <v>8.2899999999999991</v>
      </c>
      <c r="E9" s="9">
        <v>6.26</v>
      </c>
      <c r="F9" s="16">
        <f t="shared" si="0"/>
        <v>19.909999999999997</v>
      </c>
      <c r="G9" s="14">
        <f>AVERAGE(C9:E9)</f>
        <v>6.6366666666666658</v>
      </c>
      <c r="H9" s="28"/>
      <c r="I9" s="15" t="s">
        <v>119</v>
      </c>
      <c r="J9" s="42">
        <f>(SUMSQ(M3:M5)/(C16*C18))-C20</f>
        <v>2.3508962962965825</v>
      </c>
      <c r="K9" s="15"/>
      <c r="L9" s="15"/>
      <c r="M9" s="15"/>
      <c r="N9" s="15"/>
      <c r="O9" s="15"/>
      <c r="P9" s="15"/>
      <c r="Q9" s="42"/>
      <c r="R9" s="15"/>
      <c r="X9" s="68" t="s">
        <v>107</v>
      </c>
      <c r="Y9" s="68" t="s">
        <v>111</v>
      </c>
      <c r="Z9" s="68">
        <v>3</v>
      </c>
      <c r="AA9" s="69">
        <v>5.92</v>
      </c>
    </row>
    <row r="10" spans="2:27" ht="15.75" x14ac:dyDescent="0.25">
      <c r="B10" s="9" t="s">
        <v>102</v>
      </c>
      <c r="C10" s="9">
        <v>5.59</v>
      </c>
      <c r="D10" s="9">
        <v>6.49</v>
      </c>
      <c r="E10" s="9">
        <v>6.25</v>
      </c>
      <c r="F10" s="16">
        <f t="shared" si="0"/>
        <v>18.329999999999998</v>
      </c>
      <c r="G10" s="14">
        <f t="shared" si="1"/>
        <v>6.1099999999999994</v>
      </c>
      <c r="H10" s="28"/>
      <c r="I10" s="15" t="s">
        <v>120</v>
      </c>
      <c r="J10" s="42">
        <f>(SUMSQ(J6:L6)/(C17*C18))-C20</f>
        <v>13.118251851851824</v>
      </c>
      <c r="K10" s="15"/>
      <c r="L10" s="15"/>
      <c r="M10" s="15"/>
      <c r="N10" s="15"/>
      <c r="O10" s="15"/>
      <c r="P10" s="15"/>
      <c r="Q10" s="15"/>
      <c r="R10" s="15"/>
      <c r="X10" s="68" t="s">
        <v>107</v>
      </c>
      <c r="Y10" s="68" t="s">
        <v>112</v>
      </c>
      <c r="Z10" s="68">
        <v>1</v>
      </c>
      <c r="AA10" s="69">
        <v>7.94</v>
      </c>
    </row>
    <row r="11" spans="2:27" ht="15.75" x14ac:dyDescent="0.25">
      <c r="B11" s="9" t="s">
        <v>103</v>
      </c>
      <c r="C11" s="9">
        <v>5.44</v>
      </c>
      <c r="D11" s="11">
        <v>5.7</v>
      </c>
      <c r="E11" s="9">
        <v>6.53</v>
      </c>
      <c r="F11" s="16">
        <f t="shared" si="0"/>
        <v>17.670000000000002</v>
      </c>
      <c r="G11" s="14">
        <f t="shared" si="1"/>
        <v>5.8900000000000006</v>
      </c>
      <c r="H11" s="28"/>
      <c r="I11" s="41" t="s">
        <v>134</v>
      </c>
      <c r="J11" s="42">
        <f>C23-J9-J10</f>
        <v>4.2300148148145809</v>
      </c>
      <c r="K11" s="15"/>
      <c r="L11" s="15"/>
      <c r="M11" s="15"/>
      <c r="N11" s="15"/>
      <c r="O11" s="15"/>
      <c r="P11" s="15"/>
      <c r="Q11" s="15"/>
      <c r="R11" s="15"/>
      <c r="X11" s="68" t="s">
        <v>107</v>
      </c>
      <c r="Y11" s="68" t="s">
        <v>112</v>
      </c>
      <c r="Z11" s="68">
        <v>2</v>
      </c>
      <c r="AA11" s="69">
        <v>6.59</v>
      </c>
    </row>
    <row r="12" spans="2:27" ht="15.75" x14ac:dyDescent="0.25">
      <c r="B12" s="9" t="s">
        <v>104</v>
      </c>
      <c r="C12" s="11">
        <v>6.3</v>
      </c>
      <c r="D12" s="9">
        <v>6.07</v>
      </c>
      <c r="E12" s="9">
        <v>7.47</v>
      </c>
      <c r="F12" s="16">
        <f t="shared" si="0"/>
        <v>19.84</v>
      </c>
      <c r="G12" s="14">
        <f t="shared" si="1"/>
        <v>6.6133333333333333</v>
      </c>
      <c r="H12" s="28"/>
      <c r="I12" s="15"/>
      <c r="J12" s="15"/>
      <c r="K12" s="15"/>
      <c r="L12" s="15"/>
      <c r="M12" s="15"/>
      <c r="N12" s="15"/>
      <c r="O12" s="15"/>
      <c r="P12" s="15"/>
      <c r="Q12" s="15"/>
      <c r="R12" s="15"/>
      <c r="X12" s="68" t="s">
        <v>107</v>
      </c>
      <c r="Y12" s="68" t="s">
        <v>112</v>
      </c>
      <c r="Z12" s="68">
        <v>3</v>
      </c>
      <c r="AA12" s="69">
        <v>7.43</v>
      </c>
    </row>
    <row r="13" spans="2:27" ht="15.75" x14ac:dyDescent="0.25">
      <c r="B13" s="23" t="s">
        <v>94</v>
      </c>
      <c r="C13" s="11">
        <f>SUM(C4:C12)</f>
        <v>56.319999999999993</v>
      </c>
      <c r="D13" s="11">
        <f>SUM(D4:D12)</f>
        <v>53.64</v>
      </c>
      <c r="E13" s="11">
        <f>SUM(E4:E12)</f>
        <v>55.449999999999996</v>
      </c>
      <c r="F13" s="88">
        <f>SUM(F4:F12)</f>
        <v>165.41</v>
      </c>
      <c r="G13" s="9"/>
      <c r="H13" s="29"/>
      <c r="I13" s="38" t="s">
        <v>121</v>
      </c>
      <c r="J13" s="15"/>
      <c r="K13" s="15"/>
      <c r="L13" s="15"/>
      <c r="M13" s="15"/>
      <c r="N13" s="15"/>
      <c r="O13" s="15"/>
      <c r="P13" s="15"/>
      <c r="Q13" s="15"/>
      <c r="R13" s="15"/>
      <c r="X13" s="68" t="s">
        <v>108</v>
      </c>
      <c r="Y13" s="68" t="s">
        <v>110</v>
      </c>
      <c r="Z13" s="68">
        <v>1</v>
      </c>
      <c r="AA13" s="69">
        <v>7.56</v>
      </c>
    </row>
    <row r="14" spans="2:27" ht="15.75" x14ac:dyDescent="0.25">
      <c r="B14" s="23" t="s">
        <v>95</v>
      </c>
      <c r="C14" s="45">
        <f>AVERAGE(C4:C12)</f>
        <v>6.2577777777777772</v>
      </c>
      <c r="D14" s="45">
        <f>AVERAGE(D4:D12)</f>
        <v>5.96</v>
      </c>
      <c r="E14" s="45">
        <f>AVERAGE(E4:E12)</f>
        <v>6.1611111111111105</v>
      </c>
      <c r="F14" s="56"/>
      <c r="G14" s="9"/>
      <c r="H14" s="29"/>
      <c r="I14" s="20" t="s">
        <v>122</v>
      </c>
      <c r="J14" s="53" t="s">
        <v>123</v>
      </c>
      <c r="K14" s="55" t="s">
        <v>124</v>
      </c>
      <c r="L14" s="55" t="s">
        <v>125</v>
      </c>
      <c r="M14" s="55" t="s">
        <v>126</v>
      </c>
      <c r="N14" s="55" t="s">
        <v>127</v>
      </c>
      <c r="O14" s="54" t="s">
        <v>135</v>
      </c>
      <c r="P14" s="55" t="s">
        <v>128</v>
      </c>
      <c r="Q14" s="15"/>
      <c r="R14" s="15"/>
      <c r="X14" s="68" t="s">
        <v>108</v>
      </c>
      <c r="Y14" s="68" t="s">
        <v>110</v>
      </c>
      <c r="Z14" s="68">
        <v>2</v>
      </c>
      <c r="AA14" s="69">
        <v>6.4</v>
      </c>
    </row>
    <row r="15" spans="2:27" ht="15.75" x14ac:dyDescent="0.25">
      <c r="B15" s="15"/>
      <c r="C15" s="15"/>
      <c r="D15" s="15"/>
      <c r="E15" s="15"/>
      <c r="F15" s="15"/>
      <c r="G15" s="15"/>
      <c r="H15" s="29"/>
      <c r="I15" s="9" t="s">
        <v>129</v>
      </c>
      <c r="J15" s="70">
        <f>C18-1</f>
        <v>2</v>
      </c>
      <c r="K15" s="11">
        <f>C22</f>
        <v>0.41538518518507317</v>
      </c>
      <c r="L15" s="11">
        <f t="shared" ref="L15:L20" si="2">K15/J15</f>
        <v>0.20769259259253658</v>
      </c>
      <c r="M15" s="17">
        <f>L15/L$20</f>
        <v>0.12738613318215933</v>
      </c>
      <c r="N15" s="17">
        <f>FINV(0.05,J15,J$20)</f>
        <v>3.6337234675916301</v>
      </c>
      <c r="O15" s="17">
        <f>FINV(0.01,J15,J$20)</f>
        <v>6.2262352803113821</v>
      </c>
      <c r="P15" s="9" t="s">
        <v>142</v>
      </c>
      <c r="Q15" s="15"/>
      <c r="R15" s="67"/>
      <c r="X15" s="68" t="s">
        <v>108</v>
      </c>
      <c r="Y15" s="68" t="s">
        <v>110</v>
      </c>
      <c r="Z15" s="68">
        <v>3</v>
      </c>
      <c r="AA15" s="69">
        <v>3.2</v>
      </c>
    </row>
    <row r="16" spans="2:27" ht="15" customHeight="1" x14ac:dyDescent="0.25">
      <c r="B16" s="29" t="s">
        <v>153</v>
      </c>
      <c r="C16">
        <v>3</v>
      </c>
      <c r="D16" s="15"/>
      <c r="E16" s="15"/>
      <c r="F16" s="15"/>
      <c r="G16" s="15"/>
      <c r="H16" s="29"/>
      <c r="I16" s="9" t="s">
        <v>93</v>
      </c>
      <c r="J16" s="70">
        <f>(C16*C17)-1</f>
        <v>8</v>
      </c>
      <c r="K16" s="11">
        <f>C23</f>
        <v>19.699162962962987</v>
      </c>
      <c r="L16" s="11">
        <f t="shared" si="2"/>
        <v>2.4623953703703734</v>
      </c>
      <c r="M16" s="17">
        <f>L16/L$20</f>
        <v>1.5102850837464332</v>
      </c>
      <c r="N16" s="17">
        <f>FINV(0.05,J16,J$20)</f>
        <v>2.5910961798744014</v>
      </c>
      <c r="O16" s="17">
        <f>FINV(0.01,J16,J$20)</f>
        <v>3.8895721399261927</v>
      </c>
      <c r="P16" s="9" t="s">
        <v>142</v>
      </c>
      <c r="Q16" s="15"/>
      <c r="R16" s="67"/>
      <c r="X16" s="68" t="s">
        <v>108</v>
      </c>
      <c r="Y16" s="68" t="s">
        <v>111</v>
      </c>
      <c r="Z16" s="68">
        <v>1</v>
      </c>
      <c r="AA16" s="69">
        <v>6.33</v>
      </c>
    </row>
    <row r="17" spans="2:27" ht="15.75" x14ac:dyDescent="0.25">
      <c r="B17" t="s">
        <v>131</v>
      </c>
      <c r="C17">
        <v>3</v>
      </c>
      <c r="D17" s="15"/>
      <c r="E17" s="15"/>
      <c r="F17" s="15"/>
      <c r="G17" s="15"/>
      <c r="H17" s="29"/>
      <c r="I17" s="9" t="s">
        <v>130</v>
      </c>
      <c r="J17" s="70">
        <f>C16-1</f>
        <v>2</v>
      </c>
      <c r="K17" s="11">
        <f>J9</f>
        <v>2.3508962962965825</v>
      </c>
      <c r="L17" s="11">
        <f t="shared" si="2"/>
        <v>1.1754481481482912</v>
      </c>
      <c r="M17" s="17">
        <f>L17/L$20</f>
        <v>0.72094913198229071</v>
      </c>
      <c r="N17" s="17">
        <f>FINV(0.05,J17,J$20)</f>
        <v>3.6337234675916301</v>
      </c>
      <c r="O17" s="17">
        <f>FINV(0.01,J17,J$20)</f>
        <v>6.2262352803113821</v>
      </c>
      <c r="P17" s="9" t="s">
        <v>142</v>
      </c>
      <c r="Q17" s="15"/>
      <c r="R17" s="67"/>
      <c r="X17" s="68" t="s">
        <v>108</v>
      </c>
      <c r="Y17" s="68" t="s">
        <v>111</v>
      </c>
      <c r="Z17" s="68">
        <v>2</v>
      </c>
      <c r="AA17" s="69">
        <v>4.2699999999999996</v>
      </c>
    </row>
    <row r="18" spans="2:27" ht="15.75" x14ac:dyDescent="0.25">
      <c r="B18" t="s">
        <v>105</v>
      </c>
      <c r="C18">
        <v>3</v>
      </c>
      <c r="D18" s="15"/>
      <c r="E18" s="15"/>
      <c r="F18" s="15"/>
      <c r="G18" s="15"/>
      <c r="H18" s="29"/>
      <c r="I18" s="9" t="s">
        <v>131</v>
      </c>
      <c r="J18" s="70">
        <f>C17-1</f>
        <v>2</v>
      </c>
      <c r="K18" s="11">
        <f>J10</f>
        <v>13.118251851851824</v>
      </c>
      <c r="L18" s="11">
        <f t="shared" si="2"/>
        <v>6.5591259259259118</v>
      </c>
      <c r="M18" s="17">
        <f>L18/L$20</f>
        <v>4.0229729829496934</v>
      </c>
      <c r="N18" s="17">
        <f>FINV(0.05,J18,J$20)</f>
        <v>3.6337234675916301</v>
      </c>
      <c r="O18" s="17">
        <f>FINV(0.01,J18,J$20)</f>
        <v>6.2262352803113821</v>
      </c>
      <c r="P18" s="9" t="s">
        <v>136</v>
      </c>
      <c r="Q18" s="15"/>
      <c r="R18" s="67"/>
      <c r="X18" s="68" t="s">
        <v>108</v>
      </c>
      <c r="Y18" s="68" t="s">
        <v>111</v>
      </c>
      <c r="Z18" s="68">
        <v>3</v>
      </c>
      <c r="AA18" s="69">
        <v>3.92</v>
      </c>
    </row>
    <row r="19" spans="2:27" ht="15.75" x14ac:dyDescent="0.25">
      <c r="D19" s="15"/>
      <c r="E19" s="15"/>
      <c r="F19" s="15"/>
      <c r="G19" s="15"/>
      <c r="H19" s="29"/>
      <c r="I19" s="9" t="s">
        <v>132</v>
      </c>
      <c r="J19" s="70">
        <f>J17*J18</f>
        <v>4</v>
      </c>
      <c r="K19" s="11">
        <f>J11</f>
        <v>4.2300148148145809</v>
      </c>
      <c r="L19" s="11">
        <f t="shared" si="2"/>
        <v>1.0575037037036452</v>
      </c>
      <c r="M19" s="17">
        <f>L19/L$20</f>
        <v>0.64860911002687416</v>
      </c>
      <c r="N19" s="17">
        <f>FINV(0.05,J19,J$20)</f>
        <v>3.0069172799243447</v>
      </c>
      <c r="O19" s="17">
        <f>FINV(0.01,J19,J$20)</f>
        <v>4.772577999723211</v>
      </c>
      <c r="P19" s="9" t="s">
        <v>142</v>
      </c>
      <c r="Q19" s="15"/>
      <c r="R19" s="15"/>
      <c r="X19" s="68" t="s">
        <v>108</v>
      </c>
      <c r="Y19" s="68" t="s">
        <v>112</v>
      </c>
      <c r="Z19" s="68">
        <v>1</v>
      </c>
      <c r="AA19" s="69">
        <v>5.36</v>
      </c>
    </row>
    <row r="20" spans="2:27" ht="15.75" x14ac:dyDescent="0.25">
      <c r="B20" t="s">
        <v>114</v>
      </c>
      <c r="C20" s="8">
        <f>(F13^2)/(C16*C17*C18)</f>
        <v>1013.3506703703703</v>
      </c>
      <c r="D20" s="15"/>
      <c r="E20" s="15"/>
      <c r="F20" s="15"/>
      <c r="G20" s="15"/>
      <c r="H20" s="29"/>
      <c r="I20" s="9" t="s">
        <v>133</v>
      </c>
      <c r="J20" s="70">
        <f>(C18-1)*((C16*C17)-1)</f>
        <v>16</v>
      </c>
      <c r="K20" s="11">
        <f>C24</f>
        <v>26.086681481481605</v>
      </c>
      <c r="L20" s="14">
        <f t="shared" si="2"/>
        <v>1.6304175925926003</v>
      </c>
      <c r="M20" s="24"/>
      <c r="N20" s="24"/>
      <c r="O20" s="24"/>
      <c r="P20" s="24"/>
      <c r="Q20" s="15"/>
      <c r="R20" s="15"/>
      <c r="X20" s="68" t="s">
        <v>108</v>
      </c>
      <c r="Y20" s="68" t="s">
        <v>112</v>
      </c>
      <c r="Z20" s="68">
        <v>2</v>
      </c>
      <c r="AA20" s="69">
        <v>8.2899999999999991</v>
      </c>
    </row>
    <row r="21" spans="2:27" ht="15.75" x14ac:dyDescent="0.25">
      <c r="B21" t="s">
        <v>115</v>
      </c>
      <c r="C21" s="8">
        <f>(SUMSQ(C4:E12))-C20</f>
        <v>46.201229629629665</v>
      </c>
      <c r="D21" s="15"/>
      <c r="E21" s="15"/>
      <c r="F21" s="15"/>
      <c r="G21" s="15"/>
      <c r="H21" s="29"/>
      <c r="I21" s="9" t="s">
        <v>94</v>
      </c>
      <c r="J21" s="70">
        <f>J15+J16+J20</f>
        <v>26</v>
      </c>
      <c r="K21" s="11">
        <f>C21</f>
        <v>46.201229629629665</v>
      </c>
      <c r="L21" s="62"/>
      <c r="M21" s="24"/>
      <c r="N21" s="24"/>
      <c r="O21" s="24"/>
      <c r="P21" s="24"/>
      <c r="Q21" s="15"/>
      <c r="R21" s="15"/>
      <c r="X21" s="68" t="s">
        <v>108</v>
      </c>
      <c r="Y21" s="68" t="s">
        <v>112</v>
      </c>
      <c r="Z21" s="68">
        <v>3</v>
      </c>
      <c r="AA21" s="69">
        <v>6.26</v>
      </c>
    </row>
    <row r="22" spans="2:27" ht="15.75" x14ac:dyDescent="0.25">
      <c r="B22" t="s">
        <v>116</v>
      </c>
      <c r="C22" s="8">
        <f>(SUMSQ(C13:E13)/(C16*C17))-C20</f>
        <v>0.41538518518507317</v>
      </c>
      <c r="D22" s="15"/>
      <c r="E22" s="15"/>
      <c r="F22" s="15"/>
      <c r="G22" s="15"/>
      <c r="H22" s="29"/>
      <c r="I22" s="15"/>
      <c r="J22" s="15"/>
      <c r="K22" s="15"/>
      <c r="L22" s="15"/>
      <c r="M22" s="15"/>
      <c r="N22" s="15"/>
      <c r="O22" s="15"/>
      <c r="P22" s="15"/>
      <c r="Q22" s="15"/>
      <c r="R22" s="15"/>
      <c r="X22" s="68" t="s">
        <v>109</v>
      </c>
      <c r="Y22" s="68" t="s">
        <v>110</v>
      </c>
      <c r="Z22" s="68">
        <v>1</v>
      </c>
      <c r="AA22" s="69">
        <v>5.59</v>
      </c>
    </row>
    <row r="23" spans="2:27" ht="15.75" x14ac:dyDescent="0.25">
      <c r="B23" t="s">
        <v>117</v>
      </c>
      <c r="C23" s="8">
        <f>(SUMSQ(F4:F12)/C18)-C20</f>
        <v>19.699162962962987</v>
      </c>
      <c r="D23" s="15"/>
      <c r="E23" s="15"/>
      <c r="F23" s="15"/>
      <c r="G23" s="15"/>
      <c r="H23" s="29"/>
      <c r="I23" s="60" t="s">
        <v>151</v>
      </c>
      <c r="J23" s="61"/>
      <c r="K23" s="61"/>
      <c r="L23" s="61"/>
      <c r="M23" s="61"/>
      <c r="N23" s="15"/>
      <c r="O23" s="15"/>
      <c r="P23" s="15"/>
      <c r="Q23" s="15"/>
      <c r="R23" s="15"/>
      <c r="X23" s="68" t="s">
        <v>109</v>
      </c>
      <c r="Y23" s="68" t="s">
        <v>110</v>
      </c>
      <c r="Z23" s="68">
        <v>2</v>
      </c>
      <c r="AA23" s="69">
        <v>6.49</v>
      </c>
    </row>
    <row r="24" spans="2:27" ht="15.75" x14ac:dyDescent="0.25">
      <c r="B24" t="s">
        <v>118</v>
      </c>
      <c r="C24" s="8">
        <f>C21-C22-C23</f>
        <v>26.086681481481605</v>
      </c>
      <c r="D24" s="15"/>
      <c r="E24" s="15"/>
      <c r="F24" s="15"/>
      <c r="G24" s="15"/>
      <c r="H24" s="29"/>
      <c r="I24" s="64" t="s">
        <v>183</v>
      </c>
      <c r="J24" s="192" t="s">
        <v>160</v>
      </c>
      <c r="K24" s="192"/>
      <c r="L24" s="192"/>
      <c r="M24" s="192"/>
      <c r="N24" s="15"/>
      <c r="O24" s="15"/>
      <c r="P24" s="15"/>
      <c r="Q24" s="15"/>
      <c r="R24" s="15"/>
      <c r="X24" s="68" t="s">
        <v>109</v>
      </c>
      <c r="Y24" s="68" t="s">
        <v>110</v>
      </c>
      <c r="Z24" s="68">
        <v>3</v>
      </c>
      <c r="AA24" s="69">
        <v>6.25</v>
      </c>
    </row>
    <row r="25" spans="2:27" ht="14.25" customHeight="1" x14ac:dyDescent="0.25">
      <c r="C25" s="4"/>
      <c r="H25" s="29"/>
      <c r="I25" s="61"/>
      <c r="J25" s="192" t="s">
        <v>192</v>
      </c>
      <c r="K25" s="192"/>
      <c r="L25" s="192"/>
      <c r="M25" s="192"/>
      <c r="N25" s="15"/>
      <c r="O25" s="15"/>
      <c r="P25" s="15"/>
      <c r="Q25" s="15"/>
      <c r="R25" s="15"/>
      <c r="X25" s="68" t="s">
        <v>109</v>
      </c>
      <c r="Y25" s="68" t="s">
        <v>111</v>
      </c>
      <c r="Z25" s="68">
        <v>1</v>
      </c>
      <c r="AA25" s="69">
        <v>5.44</v>
      </c>
    </row>
    <row r="26" spans="2:27" ht="15.75" x14ac:dyDescent="0.25">
      <c r="H26" s="15"/>
      <c r="I26" s="61"/>
      <c r="J26" s="64">
        <v>3.65</v>
      </c>
      <c r="K26" s="64" t="s">
        <v>152</v>
      </c>
      <c r="L26" s="65">
        <f>SQRT(L20/9)</f>
        <v>0.42562602162939556</v>
      </c>
      <c r="M26" s="61"/>
      <c r="N26" s="15"/>
      <c r="O26" s="15"/>
      <c r="P26" s="15"/>
      <c r="Q26" s="15"/>
      <c r="R26" s="15"/>
      <c r="X26" s="68" t="s">
        <v>109</v>
      </c>
      <c r="Y26" s="68" t="s">
        <v>111</v>
      </c>
      <c r="Z26" s="68">
        <v>2</v>
      </c>
      <c r="AA26" s="69">
        <v>5.7</v>
      </c>
    </row>
    <row r="27" spans="2:27" ht="15.75" x14ac:dyDescent="0.25">
      <c r="H27" s="15"/>
      <c r="I27" s="61"/>
      <c r="J27" s="65">
        <f>J26*L26</f>
        <v>1.5535349789472936</v>
      </c>
      <c r="L27" s="61"/>
      <c r="M27" s="61"/>
      <c r="N27" s="15"/>
      <c r="O27" s="15"/>
      <c r="P27" s="15"/>
      <c r="Q27" s="15"/>
      <c r="R27" s="15"/>
      <c r="X27" s="68" t="s">
        <v>109</v>
      </c>
      <c r="Y27" s="68" t="s">
        <v>111</v>
      </c>
      <c r="Z27" s="68">
        <v>3</v>
      </c>
      <c r="AA27" s="69">
        <v>6.53</v>
      </c>
    </row>
    <row r="28" spans="2:27" ht="15.75" x14ac:dyDescent="0.25">
      <c r="H28" s="15"/>
      <c r="N28" s="15"/>
      <c r="O28" s="15"/>
      <c r="P28" s="15"/>
      <c r="Q28" s="15"/>
      <c r="R28" s="15"/>
      <c r="X28" s="68" t="s">
        <v>109</v>
      </c>
      <c r="Y28" s="68" t="s">
        <v>112</v>
      </c>
      <c r="Z28" s="68">
        <v>1</v>
      </c>
      <c r="AA28" s="69">
        <v>6.3</v>
      </c>
    </row>
    <row r="29" spans="2:27" ht="15.75" x14ac:dyDescent="0.25">
      <c r="H29" s="15"/>
      <c r="I29" s="64" t="s">
        <v>154</v>
      </c>
      <c r="J29" s="61"/>
      <c r="K29" s="61"/>
      <c r="L29" s="61"/>
      <c r="M29" s="61"/>
      <c r="N29" s="15"/>
      <c r="O29" s="15"/>
      <c r="P29" s="15"/>
      <c r="Q29" s="15"/>
      <c r="R29" s="15"/>
      <c r="X29" s="68" t="s">
        <v>109</v>
      </c>
      <c r="Y29" s="68" t="s">
        <v>112</v>
      </c>
      <c r="Z29" s="68">
        <v>2</v>
      </c>
      <c r="AA29" s="69">
        <v>6.07</v>
      </c>
    </row>
    <row r="30" spans="2:27" ht="15.75" x14ac:dyDescent="0.25">
      <c r="H30" s="15"/>
      <c r="I30" s="192" t="s">
        <v>155</v>
      </c>
      <c r="J30" s="192"/>
      <c r="K30" s="192"/>
      <c r="L30" s="192"/>
      <c r="M30" s="192"/>
      <c r="N30" s="15"/>
      <c r="O30" s="15"/>
      <c r="P30" s="15"/>
      <c r="Q30" s="15"/>
      <c r="R30" s="15"/>
      <c r="X30" s="68" t="s">
        <v>109</v>
      </c>
      <c r="Y30" s="68" t="s">
        <v>112</v>
      </c>
      <c r="Z30" s="68">
        <v>3</v>
      </c>
      <c r="AA30" s="69">
        <v>7.47</v>
      </c>
    </row>
    <row r="31" spans="2:27" ht="15.75" x14ac:dyDescent="0.25">
      <c r="H31" s="15"/>
      <c r="I31" s="192" t="s">
        <v>156</v>
      </c>
      <c r="J31" s="192"/>
      <c r="K31" s="192"/>
      <c r="L31" s="192"/>
      <c r="M31" s="192"/>
      <c r="N31" s="15"/>
      <c r="O31" s="15"/>
      <c r="P31" s="15"/>
      <c r="Q31" s="15"/>
      <c r="R31" s="15"/>
    </row>
    <row r="32" spans="2:27" x14ac:dyDescent="0.25">
      <c r="H32" s="15"/>
      <c r="I32" s="63" t="s">
        <v>157</v>
      </c>
      <c r="N32" s="15"/>
      <c r="O32" s="15"/>
      <c r="P32" s="15"/>
      <c r="Q32" s="15"/>
      <c r="R32" s="15"/>
    </row>
    <row r="33" spans="8:25" x14ac:dyDescent="0.25">
      <c r="H33" s="15"/>
      <c r="N33" s="15"/>
      <c r="O33" s="42"/>
      <c r="P33" s="15"/>
      <c r="Q33" s="15"/>
      <c r="R33" s="15"/>
    </row>
    <row r="34" spans="8:25" ht="15.75" thickBot="1" x14ac:dyDescent="0.3">
      <c r="H34" s="15"/>
      <c r="I34" s="1" t="s">
        <v>185</v>
      </c>
      <c r="N34" s="15"/>
      <c r="O34" s="15"/>
      <c r="P34" s="15"/>
      <c r="Q34" s="15"/>
      <c r="R34" s="15"/>
    </row>
    <row r="35" spans="8:25" ht="15.75" thickBot="1" x14ac:dyDescent="0.3">
      <c r="H35" s="15"/>
      <c r="I35" s="75" t="s">
        <v>93</v>
      </c>
      <c r="J35" s="46" t="s">
        <v>141</v>
      </c>
      <c r="K35" s="114" t="s">
        <v>161</v>
      </c>
      <c r="L35" s="82" t="s">
        <v>128</v>
      </c>
      <c r="N35" s="15"/>
      <c r="O35" s="29"/>
      <c r="P35" s="83"/>
      <c r="Q35" s="83"/>
      <c r="R35" s="83"/>
      <c r="S35" s="83"/>
      <c r="T35" s="83"/>
      <c r="U35" s="83"/>
      <c r="V35" s="83"/>
      <c r="W35" s="83"/>
      <c r="X35" s="83"/>
      <c r="Y35" s="27"/>
    </row>
    <row r="36" spans="8:25" x14ac:dyDescent="0.25">
      <c r="H36" s="15"/>
      <c r="I36" s="97" t="s">
        <v>111</v>
      </c>
      <c r="J36" s="47">
        <f>K7</f>
        <v>5.1877777777777778</v>
      </c>
      <c r="K36" s="42">
        <f>J36+J$39</f>
        <v>6.7413127567250717</v>
      </c>
      <c r="L36" s="77" t="s">
        <v>144</v>
      </c>
      <c r="O36" s="83"/>
      <c r="P36" s="83"/>
      <c r="Q36" s="27"/>
      <c r="R36" s="27"/>
      <c r="S36" s="27"/>
      <c r="T36" s="27"/>
      <c r="U36" s="27"/>
      <c r="V36" s="27"/>
      <c r="W36" s="27"/>
      <c r="X36" s="27"/>
      <c r="Y36" s="27"/>
    </row>
    <row r="37" spans="8:25" x14ac:dyDescent="0.25">
      <c r="H37" s="15"/>
      <c r="I37" s="98" t="s">
        <v>110</v>
      </c>
      <c r="J37" s="47">
        <f>J7</f>
        <v>6.3344444444444452</v>
      </c>
      <c r="K37" s="42">
        <f>J37+J$39</f>
        <v>7.8879794233917391</v>
      </c>
      <c r="L37" s="40" t="s">
        <v>162</v>
      </c>
      <c r="N37" s="8"/>
      <c r="O37" s="83"/>
      <c r="P37" s="83"/>
      <c r="Q37" s="83"/>
      <c r="R37" s="27"/>
      <c r="S37" s="27"/>
      <c r="T37" s="27"/>
      <c r="U37" s="27"/>
      <c r="V37" s="27"/>
      <c r="W37" s="27"/>
      <c r="X37" s="27"/>
      <c r="Y37" s="27"/>
    </row>
    <row r="38" spans="8:25" ht="15.75" thickBot="1" x14ac:dyDescent="0.3">
      <c r="H38" s="15"/>
      <c r="I38" s="99" t="s">
        <v>112</v>
      </c>
      <c r="J38" s="78">
        <f>L7</f>
        <v>6.8566666666666656</v>
      </c>
      <c r="K38" s="79"/>
      <c r="L38" s="44" t="s">
        <v>145</v>
      </c>
      <c r="N38" s="8"/>
      <c r="O38" s="83"/>
      <c r="P38" s="83"/>
      <c r="Q38" s="83"/>
      <c r="R38" s="83"/>
      <c r="S38" s="27"/>
      <c r="T38" s="27"/>
      <c r="U38" s="27"/>
      <c r="V38" s="27"/>
      <c r="W38" s="27"/>
      <c r="X38" s="27"/>
      <c r="Y38" s="27"/>
    </row>
    <row r="39" spans="8:25" ht="15.75" thickBot="1" x14ac:dyDescent="0.3">
      <c r="I39" s="93" t="s">
        <v>176</v>
      </c>
      <c r="J39" s="189">
        <f>J27</f>
        <v>1.5535349789472936</v>
      </c>
      <c r="K39" s="190"/>
      <c r="L39" s="191"/>
      <c r="M39" s="66"/>
      <c r="O39" s="27"/>
      <c r="P39" s="27"/>
      <c r="Q39" s="27"/>
      <c r="R39" s="27"/>
      <c r="S39" s="27"/>
      <c r="T39" s="27"/>
      <c r="U39" s="129"/>
      <c r="V39" s="27"/>
      <c r="W39" s="27"/>
      <c r="X39" s="27"/>
      <c r="Y39" s="27"/>
    </row>
    <row r="40" spans="8:25" x14ac:dyDescent="0.25"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8" spans="8:25" ht="15.75" x14ac:dyDescent="0.25">
      <c r="I48" s="188" t="s">
        <v>93</v>
      </c>
      <c r="J48" s="188"/>
      <c r="K48" s="188"/>
      <c r="L48" s="188"/>
      <c r="M48" s="188"/>
      <c r="N48" s="84" t="s">
        <v>141</v>
      </c>
      <c r="O48" s="84" t="s">
        <v>168</v>
      </c>
      <c r="P48" s="84" t="s">
        <v>128</v>
      </c>
    </row>
    <row r="49" spans="9:16" ht="15.75" x14ac:dyDescent="0.25">
      <c r="I49" s="193" t="s">
        <v>188</v>
      </c>
      <c r="J49" s="193"/>
      <c r="K49" s="193"/>
      <c r="L49" s="193"/>
      <c r="M49" s="193"/>
      <c r="N49" s="85">
        <f>J7</f>
        <v>6.3344444444444452</v>
      </c>
      <c r="O49" s="124">
        <f>J6</f>
        <v>57.010000000000005</v>
      </c>
      <c r="P49" s="87" t="s">
        <v>162</v>
      </c>
    </row>
    <row r="50" spans="9:16" ht="15.75" x14ac:dyDescent="0.25">
      <c r="I50" s="193" t="s">
        <v>190</v>
      </c>
      <c r="J50" s="193"/>
      <c r="K50" s="193"/>
      <c r="L50" s="193"/>
      <c r="M50" s="193"/>
      <c r="N50" s="85">
        <f>K7</f>
        <v>5.1877777777777778</v>
      </c>
      <c r="O50" s="124">
        <f>K6</f>
        <v>46.69</v>
      </c>
      <c r="P50" s="87" t="s">
        <v>144</v>
      </c>
    </row>
    <row r="51" spans="9:16" ht="15.75" x14ac:dyDescent="0.25">
      <c r="I51" s="177" t="s">
        <v>189</v>
      </c>
      <c r="J51" s="177"/>
      <c r="K51" s="177"/>
      <c r="L51" s="177"/>
      <c r="M51" s="177"/>
      <c r="N51" s="85">
        <f>L7</f>
        <v>6.8566666666666656</v>
      </c>
      <c r="O51" s="124">
        <f>L6</f>
        <v>61.709999999999994</v>
      </c>
      <c r="P51" s="87" t="s">
        <v>145</v>
      </c>
    </row>
    <row r="52" spans="9:16" ht="15.75" x14ac:dyDescent="0.25">
      <c r="I52" s="178" t="s">
        <v>176</v>
      </c>
      <c r="J52" s="178"/>
      <c r="K52" s="178"/>
      <c r="L52" s="178"/>
      <c r="M52" s="178"/>
      <c r="N52" s="174">
        <f>J39</f>
        <v>1.5535349789472936</v>
      </c>
      <c r="O52" s="174"/>
      <c r="P52" s="174"/>
    </row>
  </sheetData>
  <mergeCells count="16">
    <mergeCell ref="J24:M24"/>
    <mergeCell ref="X1:AA1"/>
    <mergeCell ref="B2:B3"/>
    <mergeCell ref="C2:E2"/>
    <mergeCell ref="F2:F3"/>
    <mergeCell ref="G2:G3"/>
    <mergeCell ref="I50:M50"/>
    <mergeCell ref="I51:M51"/>
    <mergeCell ref="I52:M52"/>
    <mergeCell ref="N52:P52"/>
    <mergeCell ref="J25:M25"/>
    <mergeCell ref="I30:M30"/>
    <mergeCell ref="I31:M31"/>
    <mergeCell ref="J39:L39"/>
    <mergeCell ref="I48:M48"/>
    <mergeCell ref="I49:M49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1DE5C-BDED-4B3D-AB99-1261D6E925C6}">
  <dimension ref="A1:AA52"/>
  <sheetViews>
    <sheetView topLeftCell="I9" zoomScale="82" zoomScaleNormal="82" workbookViewId="0">
      <selection activeCell="J15" sqref="J15:P21"/>
    </sheetView>
  </sheetViews>
  <sheetFormatPr defaultRowHeight="15" x14ac:dyDescent="0.25"/>
  <cols>
    <col min="2" max="2" width="13.85546875" customWidth="1"/>
    <col min="3" max="3" width="12.7109375" customWidth="1"/>
    <col min="6" max="6" width="11" bestFit="1" customWidth="1"/>
    <col min="7" max="7" width="13.5703125" bestFit="1" customWidth="1"/>
    <col min="8" max="8" width="13.140625" bestFit="1" customWidth="1"/>
    <col min="9" max="9" width="23.42578125" bestFit="1" customWidth="1"/>
    <col min="10" max="10" width="11.7109375" customWidth="1"/>
    <col min="11" max="11" width="14.42578125" bestFit="1" customWidth="1"/>
    <col min="12" max="12" width="13" customWidth="1"/>
    <col min="13" max="13" width="11" bestFit="1" customWidth="1"/>
    <col min="14" max="14" width="13.5703125" bestFit="1" customWidth="1"/>
    <col min="15" max="15" width="16.42578125" bestFit="1" customWidth="1"/>
    <col min="16" max="16" width="12.5703125" customWidth="1"/>
    <col min="19" max="19" width="26.5703125" bestFit="1" customWidth="1"/>
    <col min="20" max="20" width="25.140625" bestFit="1" customWidth="1"/>
    <col min="21" max="21" width="10.5703125" bestFit="1" customWidth="1"/>
    <col min="22" max="22" width="13.85546875" bestFit="1" customWidth="1"/>
    <col min="24" max="24" width="25.7109375" bestFit="1" customWidth="1"/>
    <col min="25" max="25" width="24.28515625" bestFit="1" customWidth="1"/>
    <col min="26" max="26" width="10.5703125" bestFit="1" customWidth="1"/>
    <col min="27" max="27" width="12.140625" bestFit="1" customWidth="1"/>
  </cols>
  <sheetData>
    <row r="1" spans="1:27" ht="15.75" x14ac:dyDescent="0.25">
      <c r="A1" t="s">
        <v>197</v>
      </c>
      <c r="B1" t="s">
        <v>138</v>
      </c>
      <c r="H1" s="29"/>
      <c r="I1" s="57" t="s">
        <v>106</v>
      </c>
      <c r="J1" s="58"/>
      <c r="K1" s="36"/>
      <c r="L1" s="36"/>
      <c r="M1" s="36"/>
      <c r="N1" s="36"/>
      <c r="O1" s="59"/>
      <c r="P1" s="36"/>
      <c r="Q1" s="36"/>
      <c r="R1" s="15"/>
      <c r="X1" s="176" t="s">
        <v>163</v>
      </c>
      <c r="Y1" s="176"/>
      <c r="Z1" s="176"/>
      <c r="AA1" s="176"/>
    </row>
    <row r="2" spans="1:27" x14ac:dyDescent="0.25">
      <c r="B2" s="180" t="s">
        <v>93</v>
      </c>
      <c r="C2" s="182" t="s">
        <v>90</v>
      </c>
      <c r="D2" s="183"/>
      <c r="E2" s="184"/>
      <c r="F2" s="185" t="s">
        <v>94</v>
      </c>
      <c r="G2" s="187" t="s">
        <v>95</v>
      </c>
      <c r="H2" s="25"/>
      <c r="I2" s="21" t="s">
        <v>93</v>
      </c>
      <c r="J2" s="72" t="s">
        <v>110</v>
      </c>
      <c r="K2" s="21" t="s">
        <v>111</v>
      </c>
      <c r="L2" s="21" t="s">
        <v>112</v>
      </c>
      <c r="M2" s="21" t="s">
        <v>94</v>
      </c>
      <c r="N2" s="21" t="s">
        <v>95</v>
      </c>
      <c r="O2" s="30"/>
      <c r="P2" s="15"/>
      <c r="Q2" s="15"/>
      <c r="R2" s="15"/>
    </row>
    <row r="3" spans="1:27" ht="15.75" x14ac:dyDescent="0.25">
      <c r="B3" s="181"/>
      <c r="C3" s="55" t="s">
        <v>91</v>
      </c>
      <c r="D3" s="55" t="s">
        <v>92</v>
      </c>
      <c r="E3" s="55" t="s">
        <v>198</v>
      </c>
      <c r="F3" s="186"/>
      <c r="G3" s="187"/>
      <c r="H3" s="25"/>
      <c r="I3" s="22" t="s">
        <v>107</v>
      </c>
      <c r="J3" s="74">
        <f>F4</f>
        <v>37.53</v>
      </c>
      <c r="K3" s="11">
        <f>F5</f>
        <v>17.97</v>
      </c>
      <c r="L3" s="11">
        <f>F6</f>
        <v>37.72</v>
      </c>
      <c r="M3" s="11">
        <f>SUM(J3:L3)</f>
        <v>93.22</v>
      </c>
      <c r="N3" s="14">
        <f>SUM(J3:L3)/9</f>
        <v>10.357777777777777</v>
      </c>
      <c r="O3" s="28"/>
      <c r="P3" s="15"/>
      <c r="Q3" s="15"/>
      <c r="R3" s="15"/>
      <c r="X3" s="68" t="s">
        <v>164</v>
      </c>
      <c r="Y3" s="68" t="s">
        <v>166</v>
      </c>
      <c r="Z3" s="68" t="s">
        <v>90</v>
      </c>
      <c r="AA3" s="68" t="s">
        <v>194</v>
      </c>
    </row>
    <row r="4" spans="1:27" ht="15.75" x14ac:dyDescent="0.25">
      <c r="B4" s="9" t="s">
        <v>96</v>
      </c>
      <c r="C4" s="11">
        <v>16.63</v>
      </c>
      <c r="D4" s="11">
        <v>8.8800000000000008</v>
      </c>
      <c r="E4" s="11">
        <v>12.02</v>
      </c>
      <c r="F4" s="16">
        <f>SUM(C4:E4)</f>
        <v>37.53</v>
      </c>
      <c r="G4" s="14">
        <f>AVERAGE(C4:E4)</f>
        <v>12.51</v>
      </c>
      <c r="H4" s="28"/>
      <c r="I4" s="22" t="s">
        <v>108</v>
      </c>
      <c r="J4" s="74">
        <f>F7</f>
        <v>25.979999999999997</v>
      </c>
      <c r="K4" s="11">
        <f>F8</f>
        <v>18.96</v>
      </c>
      <c r="L4" s="11">
        <f>F9</f>
        <v>38.14</v>
      </c>
      <c r="M4" s="11">
        <f>SUM(J4:L4)</f>
        <v>83.08</v>
      </c>
      <c r="N4" s="14">
        <f>SUM(J4:L4)/9</f>
        <v>9.2311111111111117</v>
      </c>
      <c r="O4" s="28"/>
      <c r="P4" s="15"/>
      <c r="Q4" s="15"/>
      <c r="R4" s="15"/>
      <c r="X4" s="68" t="s">
        <v>107</v>
      </c>
      <c r="Y4" s="68" t="s">
        <v>110</v>
      </c>
      <c r="Z4" s="68">
        <v>1</v>
      </c>
      <c r="AA4" s="69">
        <v>16.63</v>
      </c>
    </row>
    <row r="5" spans="1:27" ht="15.75" x14ac:dyDescent="0.25">
      <c r="B5" s="9" t="s">
        <v>97</v>
      </c>
      <c r="C5" s="11">
        <v>5.63</v>
      </c>
      <c r="D5" s="11">
        <v>4.42</v>
      </c>
      <c r="E5" s="11">
        <v>7.92</v>
      </c>
      <c r="F5" s="16">
        <f t="shared" ref="F5:F12" si="0">SUM(C5:E5)</f>
        <v>17.97</v>
      </c>
      <c r="G5" s="14">
        <f t="shared" ref="G5:G12" si="1">AVERAGE(C5:E5)</f>
        <v>5.9899999999999993</v>
      </c>
      <c r="H5" s="28"/>
      <c r="I5" s="22" t="s">
        <v>109</v>
      </c>
      <c r="J5" s="74">
        <f>F10</f>
        <v>21.28</v>
      </c>
      <c r="K5" s="11">
        <f>F11</f>
        <v>20.27</v>
      </c>
      <c r="L5" s="11">
        <f>F12</f>
        <v>28.22</v>
      </c>
      <c r="M5" s="11">
        <f>SUM(J5:L5)</f>
        <v>69.77</v>
      </c>
      <c r="N5" s="14">
        <f>SUM(J5:L5)/9</f>
        <v>7.7522222222222217</v>
      </c>
      <c r="O5" s="28"/>
      <c r="P5" s="15"/>
      <c r="Q5" s="15"/>
      <c r="R5" s="15"/>
      <c r="X5" s="68" t="s">
        <v>107</v>
      </c>
      <c r="Y5" s="68" t="s">
        <v>110</v>
      </c>
      <c r="Z5" s="68">
        <v>2</v>
      </c>
      <c r="AA5" s="69">
        <v>8.8800000000000008</v>
      </c>
    </row>
    <row r="6" spans="1:27" ht="15.75" x14ac:dyDescent="0.25">
      <c r="B6" s="9" t="s">
        <v>98</v>
      </c>
      <c r="C6" s="11">
        <v>12.6</v>
      </c>
      <c r="D6" s="11">
        <v>7.66</v>
      </c>
      <c r="E6" s="11">
        <v>17.46</v>
      </c>
      <c r="F6" s="16">
        <f t="shared" si="0"/>
        <v>37.72</v>
      </c>
      <c r="G6" s="14">
        <f t="shared" si="1"/>
        <v>12.573333333333332</v>
      </c>
      <c r="H6" s="28"/>
      <c r="I6" s="23" t="s">
        <v>113</v>
      </c>
      <c r="J6" s="74">
        <f>SUM(J3:J5)</f>
        <v>84.789999999999992</v>
      </c>
      <c r="K6" s="11">
        <f>SUM(K3:K5)</f>
        <v>57.2</v>
      </c>
      <c r="L6" s="11">
        <f>SUM(L3:L5)</f>
        <v>104.08</v>
      </c>
      <c r="M6" s="32">
        <f>SUM(M3:M5)</f>
        <v>246.07</v>
      </c>
      <c r="N6" s="11"/>
      <c r="O6" s="31"/>
      <c r="P6" s="15"/>
      <c r="Q6" s="15"/>
      <c r="R6" s="15"/>
      <c r="X6" s="68" t="s">
        <v>107</v>
      </c>
      <c r="Y6" s="68" t="s">
        <v>110</v>
      </c>
      <c r="Z6" s="68">
        <v>3</v>
      </c>
      <c r="AA6" s="69">
        <v>12.02</v>
      </c>
    </row>
    <row r="7" spans="1:27" ht="15.75" x14ac:dyDescent="0.25">
      <c r="B7" s="9" t="s">
        <v>99</v>
      </c>
      <c r="C7" s="11">
        <v>11.77</v>
      </c>
      <c r="D7" s="11">
        <v>8.6</v>
      </c>
      <c r="E7" s="11">
        <v>5.61</v>
      </c>
      <c r="F7" s="16">
        <f t="shared" si="0"/>
        <v>25.979999999999997</v>
      </c>
      <c r="G7" s="14">
        <f t="shared" si="1"/>
        <v>8.6599999999999984</v>
      </c>
      <c r="H7" s="28"/>
      <c r="I7" s="23" t="s">
        <v>95</v>
      </c>
      <c r="J7" s="123">
        <f>SUM(J3:J5)/9</f>
        <v>9.4211111111111094</v>
      </c>
      <c r="K7" s="123">
        <f>SUM(K3:K5)/9</f>
        <v>6.3555555555555561</v>
      </c>
      <c r="L7" s="123">
        <f>SUM(L3:L5)/9</f>
        <v>11.564444444444444</v>
      </c>
      <c r="M7" s="11"/>
      <c r="N7" s="11"/>
      <c r="O7" s="26"/>
      <c r="P7" s="15"/>
      <c r="Q7" s="15"/>
      <c r="R7" s="15"/>
      <c r="X7" s="68" t="s">
        <v>107</v>
      </c>
      <c r="Y7" s="68" t="s">
        <v>111</v>
      </c>
      <c r="Z7" s="68">
        <v>1</v>
      </c>
      <c r="AA7" s="69">
        <v>5.63</v>
      </c>
    </row>
    <row r="8" spans="1:27" ht="15.75" x14ac:dyDescent="0.25">
      <c r="B8" s="9" t="s">
        <v>100</v>
      </c>
      <c r="C8" s="11">
        <v>9</v>
      </c>
      <c r="D8" s="11">
        <v>5.0599999999999996</v>
      </c>
      <c r="E8" s="11">
        <v>4.9000000000000004</v>
      </c>
      <c r="F8" s="16">
        <f t="shared" si="0"/>
        <v>18.96</v>
      </c>
      <c r="G8" s="14">
        <f>AVERAGE(C8:E8)</f>
        <v>6.32</v>
      </c>
      <c r="H8" s="28"/>
      <c r="I8" s="15"/>
      <c r="J8" s="39"/>
      <c r="K8" s="15"/>
      <c r="L8" s="15"/>
      <c r="M8" s="15"/>
      <c r="N8" s="15"/>
      <c r="O8" s="15"/>
      <c r="P8" s="15"/>
      <c r="Q8" s="15"/>
      <c r="R8" s="15"/>
      <c r="X8" s="68" t="s">
        <v>107</v>
      </c>
      <c r="Y8" s="68" t="s">
        <v>111</v>
      </c>
      <c r="Z8" s="68">
        <v>2</v>
      </c>
      <c r="AA8" s="69">
        <v>4.42</v>
      </c>
    </row>
    <row r="9" spans="1:27" ht="15.75" x14ac:dyDescent="0.25">
      <c r="B9" s="9" t="s">
        <v>101</v>
      </c>
      <c r="C9" s="11">
        <v>13.15</v>
      </c>
      <c r="D9" s="11">
        <v>14.77</v>
      </c>
      <c r="E9" s="11">
        <v>10.220000000000001</v>
      </c>
      <c r="F9" s="16">
        <f t="shared" si="0"/>
        <v>38.14</v>
      </c>
      <c r="G9" s="14">
        <f>AVERAGE(C9:E9)</f>
        <v>12.713333333333333</v>
      </c>
      <c r="H9" s="28"/>
      <c r="I9" s="15" t="s">
        <v>119</v>
      </c>
      <c r="J9" s="42">
        <f>(SUMSQ(M3:M5)/(C16*C18))-C20</f>
        <v>30.736229629629179</v>
      </c>
      <c r="K9" s="15"/>
      <c r="L9" s="15"/>
      <c r="M9" s="15"/>
      <c r="N9" s="15"/>
      <c r="O9" s="15"/>
      <c r="P9" s="15"/>
      <c r="Q9" s="15"/>
      <c r="R9" s="15"/>
      <c r="X9" s="68" t="s">
        <v>107</v>
      </c>
      <c r="Y9" s="68" t="s">
        <v>111</v>
      </c>
      <c r="Z9" s="68">
        <v>3</v>
      </c>
      <c r="AA9" s="69">
        <v>7.92</v>
      </c>
    </row>
    <row r="10" spans="1:27" ht="15.75" x14ac:dyDescent="0.25">
      <c r="B10" s="9" t="s">
        <v>102</v>
      </c>
      <c r="C10" s="11">
        <v>5.49</v>
      </c>
      <c r="D10" s="11">
        <v>8.7200000000000006</v>
      </c>
      <c r="E10" s="11">
        <v>7.07</v>
      </c>
      <c r="F10" s="16">
        <f t="shared" si="0"/>
        <v>21.28</v>
      </c>
      <c r="G10" s="14">
        <f t="shared" si="1"/>
        <v>7.0933333333333337</v>
      </c>
      <c r="H10" s="28"/>
      <c r="I10" s="15" t="s">
        <v>120</v>
      </c>
      <c r="J10" s="42">
        <f>(SUMSQ(J6:L6)/(C17*C18))-C20</f>
        <v>123.37209629629569</v>
      </c>
      <c r="K10" s="15"/>
      <c r="L10" s="15"/>
      <c r="M10" s="15"/>
      <c r="N10" s="15"/>
      <c r="O10" s="15"/>
      <c r="P10" s="15"/>
      <c r="Q10" s="15"/>
      <c r="R10" s="15"/>
      <c r="X10" s="68" t="s">
        <v>107</v>
      </c>
      <c r="Y10" s="68" t="s">
        <v>112</v>
      </c>
      <c r="Z10" s="68">
        <v>1</v>
      </c>
      <c r="AA10" s="69">
        <v>12.6</v>
      </c>
    </row>
    <row r="11" spans="1:27" ht="15.75" x14ac:dyDescent="0.25">
      <c r="B11" s="9" t="s">
        <v>103</v>
      </c>
      <c r="C11" s="11">
        <v>6.09</v>
      </c>
      <c r="D11" s="11">
        <v>6.56</v>
      </c>
      <c r="E11" s="11">
        <v>7.62</v>
      </c>
      <c r="F11" s="16">
        <f t="shared" si="0"/>
        <v>20.27</v>
      </c>
      <c r="G11" s="14">
        <f t="shared" si="1"/>
        <v>6.7566666666666668</v>
      </c>
      <c r="H11" s="28"/>
      <c r="I11" s="41" t="s">
        <v>134</v>
      </c>
      <c r="J11" s="42">
        <f>C23-J9-J10</f>
        <v>37.749770370371152</v>
      </c>
      <c r="K11" s="15"/>
      <c r="L11" s="15"/>
      <c r="M11" s="15"/>
      <c r="N11" s="15"/>
      <c r="O11" s="15"/>
      <c r="P11" s="15"/>
      <c r="Q11" s="15"/>
      <c r="R11" s="15"/>
      <c r="X11" s="68" t="s">
        <v>107</v>
      </c>
      <c r="Y11" s="68" t="s">
        <v>112</v>
      </c>
      <c r="Z11" s="68">
        <v>2</v>
      </c>
      <c r="AA11" s="69">
        <v>7.66</v>
      </c>
    </row>
    <row r="12" spans="1:27" ht="15.75" x14ac:dyDescent="0.25">
      <c r="B12" s="9" t="s">
        <v>104</v>
      </c>
      <c r="C12" s="11">
        <v>6.3</v>
      </c>
      <c r="D12" s="11">
        <v>7.38</v>
      </c>
      <c r="E12" s="11">
        <v>14.54</v>
      </c>
      <c r="F12" s="16">
        <f t="shared" si="0"/>
        <v>28.22</v>
      </c>
      <c r="G12" s="14">
        <f t="shared" si="1"/>
        <v>9.4066666666666663</v>
      </c>
      <c r="H12" s="28"/>
      <c r="I12" s="15"/>
      <c r="J12" s="15"/>
      <c r="K12" s="15"/>
      <c r="L12" s="15"/>
      <c r="M12" s="15"/>
      <c r="N12" s="15"/>
      <c r="O12" s="15"/>
      <c r="P12" s="15"/>
      <c r="Q12" s="15"/>
      <c r="R12" s="15"/>
      <c r="X12" s="68" t="s">
        <v>107</v>
      </c>
      <c r="Y12" s="68" t="s">
        <v>112</v>
      </c>
      <c r="Z12" s="68">
        <v>3</v>
      </c>
      <c r="AA12" s="69">
        <v>17.46</v>
      </c>
    </row>
    <row r="13" spans="1:27" ht="15.75" x14ac:dyDescent="0.25">
      <c r="B13" s="23" t="s">
        <v>94</v>
      </c>
      <c r="C13" s="11">
        <f>SUM(C4:C12)</f>
        <v>86.66</v>
      </c>
      <c r="D13" s="11">
        <f>SUM(D4:D12)</f>
        <v>72.05</v>
      </c>
      <c r="E13" s="11">
        <f>SUM(E4:E12)</f>
        <v>87.359999999999985</v>
      </c>
      <c r="F13" s="88">
        <f>SUM(F4:F12)</f>
        <v>246.07000000000002</v>
      </c>
      <c r="G13" s="11"/>
      <c r="H13" s="29"/>
      <c r="I13" s="38" t="s">
        <v>121</v>
      </c>
      <c r="J13" s="15"/>
      <c r="K13" s="15"/>
      <c r="L13" s="15"/>
      <c r="M13" s="15"/>
      <c r="N13" s="15"/>
      <c r="O13" s="15"/>
      <c r="P13" s="15"/>
      <c r="Q13" s="15"/>
      <c r="R13" s="15"/>
      <c r="X13" s="68" t="s">
        <v>108</v>
      </c>
      <c r="Y13" s="68" t="s">
        <v>110</v>
      </c>
      <c r="Z13" s="68">
        <v>1</v>
      </c>
      <c r="AA13" s="69">
        <v>11.77</v>
      </c>
    </row>
    <row r="14" spans="1:27" ht="15.75" x14ac:dyDescent="0.25">
      <c r="B14" s="23" t="s">
        <v>95</v>
      </c>
      <c r="C14" s="11">
        <f>AVERAGE(C4:C12)</f>
        <v>9.6288888888888877</v>
      </c>
      <c r="D14" s="11">
        <f>AVERAGE(D4:D12)</f>
        <v>8.0055555555555546</v>
      </c>
      <c r="E14" s="11">
        <f>AVERAGE(E4:E12)</f>
        <v>9.7066666666666652</v>
      </c>
      <c r="F14" s="16"/>
      <c r="G14" s="11"/>
      <c r="H14" s="29"/>
      <c r="I14" s="20" t="s">
        <v>122</v>
      </c>
      <c r="J14" s="53" t="s">
        <v>123</v>
      </c>
      <c r="K14" s="55" t="s">
        <v>124</v>
      </c>
      <c r="L14" s="55" t="s">
        <v>125</v>
      </c>
      <c r="M14" s="55" t="s">
        <v>126</v>
      </c>
      <c r="N14" s="55" t="s">
        <v>127</v>
      </c>
      <c r="O14" s="54" t="s">
        <v>135</v>
      </c>
      <c r="P14" s="55" t="s">
        <v>128</v>
      </c>
      <c r="Q14" s="15"/>
      <c r="R14" s="15"/>
      <c r="X14" s="68" t="s">
        <v>108</v>
      </c>
      <c r="Y14" s="68" t="s">
        <v>110</v>
      </c>
      <c r="Z14" s="68">
        <v>2</v>
      </c>
      <c r="AA14" s="69">
        <v>8.6</v>
      </c>
    </row>
    <row r="15" spans="1:27" ht="15.75" x14ac:dyDescent="0.25">
      <c r="B15" s="15"/>
      <c r="C15" s="15"/>
      <c r="D15" s="15"/>
      <c r="E15" s="15"/>
      <c r="F15" s="15"/>
      <c r="G15" s="15"/>
      <c r="H15" s="29"/>
      <c r="I15" s="9" t="s">
        <v>129</v>
      </c>
      <c r="J15" s="70">
        <f>C18-1</f>
        <v>2</v>
      </c>
      <c r="K15" s="11">
        <f>C22</f>
        <v>16.605118518517884</v>
      </c>
      <c r="L15" s="11">
        <f t="shared" ref="L15:L20" si="2">K15/J15</f>
        <v>8.3025592592589419</v>
      </c>
      <c r="M15" s="17">
        <f>L15/L$20</f>
        <v>0.85657298073029042</v>
      </c>
      <c r="N15" s="17">
        <f>FINV(0.05,J15,J$20)</f>
        <v>3.6337234675916301</v>
      </c>
      <c r="O15" s="17">
        <f>FINV(0.01,J15,J$20)</f>
        <v>6.2262352803113821</v>
      </c>
      <c r="P15" s="9" t="s">
        <v>142</v>
      </c>
      <c r="Q15" s="15"/>
      <c r="R15" s="67"/>
      <c r="X15" s="68" t="s">
        <v>108</v>
      </c>
      <c r="Y15" s="68" t="s">
        <v>110</v>
      </c>
      <c r="Z15" s="68">
        <v>3</v>
      </c>
      <c r="AA15" s="69">
        <v>5.61</v>
      </c>
    </row>
    <row r="16" spans="1:27" ht="15" customHeight="1" x14ac:dyDescent="0.25">
      <c r="B16" s="29" t="s">
        <v>153</v>
      </c>
      <c r="C16">
        <v>3</v>
      </c>
      <c r="D16" s="15"/>
      <c r="E16" s="15"/>
      <c r="F16" s="15"/>
      <c r="G16" s="15"/>
      <c r="H16" s="29"/>
      <c r="I16" s="9" t="s">
        <v>93</v>
      </c>
      <c r="J16" s="70">
        <f>(C16*C17)-1</f>
        <v>8</v>
      </c>
      <c r="K16" s="11">
        <f>C23</f>
        <v>191.85809629629603</v>
      </c>
      <c r="L16" s="11">
        <f t="shared" si="2"/>
        <v>23.982262037037003</v>
      </c>
      <c r="M16" s="17">
        <f>L16/L$20</f>
        <v>2.4742440296118082</v>
      </c>
      <c r="N16" s="17">
        <f>FINV(0.05,J16,J$20)</f>
        <v>2.5910961798744014</v>
      </c>
      <c r="O16" s="17">
        <f>FINV(0.01,J16,J$20)</f>
        <v>3.8895721399261927</v>
      </c>
      <c r="P16" s="9" t="s">
        <v>142</v>
      </c>
      <c r="Q16" s="15"/>
      <c r="R16" s="67"/>
      <c r="X16" s="68" t="s">
        <v>108</v>
      </c>
      <c r="Y16" s="68" t="s">
        <v>111</v>
      </c>
      <c r="Z16" s="68">
        <v>1</v>
      </c>
      <c r="AA16" s="69">
        <v>9</v>
      </c>
    </row>
    <row r="17" spans="2:27" ht="15.75" x14ac:dyDescent="0.25">
      <c r="B17" t="s">
        <v>131</v>
      </c>
      <c r="C17">
        <v>3</v>
      </c>
      <c r="D17" s="15"/>
      <c r="E17" s="15"/>
      <c r="F17" s="15"/>
      <c r="G17" s="15"/>
      <c r="H17" s="29"/>
      <c r="I17" s="9" t="s">
        <v>130</v>
      </c>
      <c r="J17" s="70">
        <f>C16-1</f>
        <v>2</v>
      </c>
      <c r="K17" s="11">
        <f>J9</f>
        <v>30.736229629629179</v>
      </c>
      <c r="L17" s="11">
        <f t="shared" si="2"/>
        <v>15.368114814814589</v>
      </c>
      <c r="M17" s="17">
        <f>L17/L$20</f>
        <v>1.5855245959793407</v>
      </c>
      <c r="N17" s="17">
        <f>FINV(0.05,J17,J$20)</f>
        <v>3.6337234675916301</v>
      </c>
      <c r="O17" s="17">
        <f>FINV(0.01,J17,J$20)</f>
        <v>6.2262352803113821</v>
      </c>
      <c r="P17" s="9" t="s">
        <v>142</v>
      </c>
      <c r="Q17" s="15"/>
      <c r="R17" s="67"/>
      <c r="X17" s="68" t="s">
        <v>108</v>
      </c>
      <c r="Y17" s="68" t="s">
        <v>111</v>
      </c>
      <c r="Z17" s="68">
        <v>2</v>
      </c>
      <c r="AA17" s="69">
        <v>5.0599999999999996</v>
      </c>
    </row>
    <row r="18" spans="2:27" ht="15.75" x14ac:dyDescent="0.25">
      <c r="B18" t="s">
        <v>105</v>
      </c>
      <c r="C18">
        <v>3</v>
      </c>
      <c r="D18" s="15"/>
      <c r="E18" s="15"/>
      <c r="F18" s="15"/>
      <c r="G18" s="15"/>
      <c r="H18" s="29"/>
      <c r="I18" s="9" t="s">
        <v>131</v>
      </c>
      <c r="J18" s="70">
        <f>C17-1</f>
        <v>2</v>
      </c>
      <c r="K18" s="11">
        <f>J10</f>
        <v>123.37209629629569</v>
      </c>
      <c r="L18" s="11">
        <f t="shared" si="2"/>
        <v>61.686048148147847</v>
      </c>
      <c r="M18" s="17">
        <f>L18/L$20</f>
        <v>6.3641342966394445</v>
      </c>
      <c r="N18" s="17">
        <f>FINV(0.05,J18,J$20)</f>
        <v>3.6337234675916301</v>
      </c>
      <c r="O18" s="17">
        <f>FINV(0.01,J18,J$20)</f>
        <v>6.2262352803113821</v>
      </c>
      <c r="P18" s="9" t="s">
        <v>137</v>
      </c>
      <c r="Q18" s="15"/>
      <c r="R18" s="67"/>
      <c r="X18" s="68" t="s">
        <v>108</v>
      </c>
      <c r="Y18" s="68" t="s">
        <v>111</v>
      </c>
      <c r="Z18" s="68">
        <v>3</v>
      </c>
      <c r="AA18" s="69">
        <v>4.9000000000000004</v>
      </c>
    </row>
    <row r="19" spans="2:27" ht="15.75" x14ac:dyDescent="0.25">
      <c r="D19" s="15"/>
      <c r="E19" s="15"/>
      <c r="F19" s="15"/>
      <c r="G19" s="15"/>
      <c r="H19" s="29"/>
      <c r="I19" s="9" t="s">
        <v>132</v>
      </c>
      <c r="J19" s="70">
        <f>J17*J18</f>
        <v>4</v>
      </c>
      <c r="K19" s="11">
        <f>J11</f>
        <v>37.749770370371152</v>
      </c>
      <c r="L19" s="11">
        <f t="shared" si="2"/>
        <v>9.4374425925927881</v>
      </c>
      <c r="M19" s="17">
        <f>L19/L$20</f>
        <v>0.97365861291422351</v>
      </c>
      <c r="N19" s="17">
        <f>FINV(0.05,J19,J$20)</f>
        <v>3.0069172799243447</v>
      </c>
      <c r="O19" s="17">
        <f>FINV(0.01,J19,J$20)</f>
        <v>4.772577999723211</v>
      </c>
      <c r="P19" s="9" t="s">
        <v>142</v>
      </c>
      <c r="Q19" s="15"/>
      <c r="R19" s="15"/>
      <c r="X19" s="68" t="s">
        <v>108</v>
      </c>
      <c r="Y19" s="68" t="s">
        <v>112</v>
      </c>
      <c r="Z19" s="68">
        <v>1</v>
      </c>
      <c r="AA19" s="69">
        <v>13.15</v>
      </c>
    </row>
    <row r="20" spans="2:27" ht="15.75" x14ac:dyDescent="0.25">
      <c r="B20" t="s">
        <v>114</v>
      </c>
      <c r="C20" s="8">
        <f>(F13^2)/(C16*C17*C18)</f>
        <v>2242.6090703703708</v>
      </c>
      <c r="D20" s="15"/>
      <c r="E20" s="15"/>
      <c r="F20" s="15"/>
      <c r="G20" s="15"/>
      <c r="H20" s="29"/>
      <c r="I20" s="9" t="s">
        <v>133</v>
      </c>
      <c r="J20" s="70">
        <f>(C18-1)*((C16*C17)-1)</f>
        <v>16</v>
      </c>
      <c r="K20" s="11">
        <f>C24</f>
        <v>155.08421481481537</v>
      </c>
      <c r="L20" s="14">
        <f t="shared" si="2"/>
        <v>9.6927634259259605</v>
      </c>
      <c r="M20" s="24"/>
      <c r="N20" s="24"/>
      <c r="O20" s="24"/>
      <c r="P20" s="24"/>
      <c r="Q20" s="15"/>
      <c r="R20" s="15"/>
      <c r="X20" s="68" t="s">
        <v>108</v>
      </c>
      <c r="Y20" s="68" t="s">
        <v>112</v>
      </c>
      <c r="Z20" s="68">
        <v>2</v>
      </c>
      <c r="AA20" s="69">
        <v>14.77</v>
      </c>
    </row>
    <row r="21" spans="2:27" ht="15.75" x14ac:dyDescent="0.25">
      <c r="B21" t="s">
        <v>115</v>
      </c>
      <c r="C21" s="8">
        <f>(SUMSQ(C4:E12))-C20</f>
        <v>363.54742962962928</v>
      </c>
      <c r="D21" s="15"/>
      <c r="E21" s="15"/>
      <c r="F21" s="15"/>
      <c r="G21" s="15"/>
      <c r="H21" s="29"/>
      <c r="I21" s="9" t="s">
        <v>94</v>
      </c>
      <c r="J21" s="70">
        <f>J15+J16+J20</f>
        <v>26</v>
      </c>
      <c r="K21" s="11">
        <f>C21</f>
        <v>363.54742962962928</v>
      </c>
      <c r="L21" s="62"/>
      <c r="M21" s="24"/>
      <c r="N21" s="24"/>
      <c r="O21" s="24"/>
      <c r="P21" s="24"/>
      <c r="Q21" s="15"/>
      <c r="R21" s="15"/>
      <c r="X21" s="68" t="s">
        <v>108</v>
      </c>
      <c r="Y21" s="68" t="s">
        <v>112</v>
      </c>
      <c r="Z21" s="68">
        <v>3</v>
      </c>
      <c r="AA21" s="69">
        <v>10.220000000000001</v>
      </c>
    </row>
    <row r="22" spans="2:27" ht="15.75" x14ac:dyDescent="0.25">
      <c r="B22" t="s">
        <v>116</v>
      </c>
      <c r="C22" s="8">
        <f>(SUMSQ(C13:E13)/(C16*C17))-C20</f>
        <v>16.605118518517884</v>
      </c>
      <c r="D22" s="15"/>
      <c r="E22" s="15"/>
      <c r="F22" s="15"/>
      <c r="G22" s="15"/>
      <c r="H22" s="29"/>
      <c r="I22" s="15"/>
      <c r="J22" s="15"/>
      <c r="K22" s="15"/>
      <c r="L22" s="15"/>
      <c r="M22" s="15"/>
      <c r="N22" s="15"/>
      <c r="O22" s="15"/>
      <c r="P22" s="15"/>
      <c r="Q22" s="15"/>
      <c r="R22" s="15"/>
      <c r="X22" s="68" t="s">
        <v>109</v>
      </c>
      <c r="Y22" s="68" t="s">
        <v>110</v>
      </c>
      <c r="Z22" s="68">
        <v>1</v>
      </c>
      <c r="AA22" s="69">
        <v>5.49</v>
      </c>
    </row>
    <row r="23" spans="2:27" ht="15.75" x14ac:dyDescent="0.25">
      <c r="B23" t="s">
        <v>117</v>
      </c>
      <c r="C23" s="8">
        <f>(SUMSQ(F4:F12)/C18)-C20</f>
        <v>191.85809629629603</v>
      </c>
      <c r="D23" s="15"/>
      <c r="E23" s="15"/>
      <c r="F23" s="15"/>
      <c r="G23" s="15"/>
      <c r="H23" s="29"/>
      <c r="I23" s="60" t="s">
        <v>151</v>
      </c>
      <c r="J23" s="61"/>
      <c r="K23" s="61"/>
      <c r="L23" s="61"/>
      <c r="M23" s="61"/>
      <c r="N23" s="15"/>
      <c r="O23" s="15"/>
      <c r="P23" s="15"/>
      <c r="Q23" s="15"/>
      <c r="R23" s="15"/>
      <c r="X23" s="68" t="s">
        <v>109</v>
      </c>
      <c r="Y23" s="68" t="s">
        <v>110</v>
      </c>
      <c r="Z23" s="68">
        <v>2</v>
      </c>
      <c r="AA23" s="69">
        <v>8.7200000000000006</v>
      </c>
    </row>
    <row r="24" spans="2:27" ht="15.75" x14ac:dyDescent="0.25">
      <c r="B24" t="s">
        <v>118</v>
      </c>
      <c r="C24" s="8">
        <f>C21-C22-C23</f>
        <v>155.08421481481537</v>
      </c>
      <c r="D24" s="15"/>
      <c r="E24" s="15"/>
      <c r="F24" s="15"/>
      <c r="G24" s="15"/>
      <c r="H24" s="29"/>
      <c r="I24" s="64" t="s">
        <v>183</v>
      </c>
      <c r="J24" s="192" t="s">
        <v>160</v>
      </c>
      <c r="K24" s="192"/>
      <c r="L24" s="192"/>
      <c r="M24" s="192"/>
      <c r="N24" s="15"/>
      <c r="O24" s="15"/>
      <c r="P24" s="15"/>
      <c r="Q24" s="15"/>
      <c r="R24" s="15"/>
      <c r="X24" s="68" t="s">
        <v>109</v>
      </c>
      <c r="Y24" s="68" t="s">
        <v>110</v>
      </c>
      <c r="Z24" s="68">
        <v>3</v>
      </c>
      <c r="AA24" s="69">
        <v>7.07</v>
      </c>
    </row>
    <row r="25" spans="2:27" ht="14.25" customHeight="1" x14ac:dyDescent="0.25">
      <c r="C25" s="4"/>
      <c r="H25" s="29"/>
      <c r="I25" s="61"/>
      <c r="J25" s="192" t="s">
        <v>195</v>
      </c>
      <c r="K25" s="192"/>
      <c r="L25" s="192"/>
      <c r="M25" s="192"/>
      <c r="N25" s="15"/>
      <c r="O25" s="15"/>
      <c r="P25" s="15"/>
      <c r="Q25" s="15"/>
      <c r="R25" s="15"/>
      <c r="X25" s="68" t="s">
        <v>109</v>
      </c>
      <c r="Y25" s="68" t="s">
        <v>111</v>
      </c>
      <c r="Z25" s="68">
        <v>1</v>
      </c>
      <c r="AA25" s="69">
        <v>6.09</v>
      </c>
    </row>
    <row r="26" spans="2:27" ht="15.75" x14ac:dyDescent="0.25">
      <c r="H26" s="15"/>
      <c r="I26" s="61"/>
      <c r="J26" s="64">
        <v>3.65</v>
      </c>
      <c r="K26" s="64" t="s">
        <v>152</v>
      </c>
      <c r="L26" s="65">
        <f>SQRT(L20/9)</f>
        <v>1.0377734405889243</v>
      </c>
      <c r="M26" s="61"/>
      <c r="N26" s="15"/>
      <c r="O26" s="15"/>
      <c r="P26" s="15"/>
      <c r="Q26" s="15"/>
      <c r="R26" s="15"/>
      <c r="X26" s="68" t="s">
        <v>109</v>
      </c>
      <c r="Y26" s="68" t="s">
        <v>111</v>
      </c>
      <c r="Z26" s="68">
        <v>2</v>
      </c>
      <c r="AA26" s="69">
        <v>6.56</v>
      </c>
    </row>
    <row r="27" spans="2:27" ht="15.75" x14ac:dyDescent="0.25">
      <c r="H27" s="15"/>
      <c r="I27" s="61"/>
      <c r="J27" s="65">
        <f>J26*L26</f>
        <v>3.7878730581495734</v>
      </c>
      <c r="L27" s="61"/>
      <c r="M27" s="61"/>
      <c r="N27" s="15"/>
      <c r="O27" s="15"/>
      <c r="P27" s="15"/>
      <c r="Q27" s="15"/>
      <c r="R27" s="15"/>
      <c r="X27" s="68" t="s">
        <v>109</v>
      </c>
      <c r="Y27" s="68" t="s">
        <v>111</v>
      </c>
      <c r="Z27" s="68">
        <v>3</v>
      </c>
      <c r="AA27" s="69">
        <v>7.62</v>
      </c>
    </row>
    <row r="28" spans="2:27" ht="15.75" x14ac:dyDescent="0.25">
      <c r="H28" s="15"/>
      <c r="N28" s="15"/>
      <c r="O28" s="15"/>
      <c r="P28" s="15"/>
      <c r="Q28" s="15"/>
      <c r="R28" s="15"/>
      <c r="X28" s="68" t="s">
        <v>109</v>
      </c>
      <c r="Y28" s="68" t="s">
        <v>112</v>
      </c>
      <c r="Z28" s="68">
        <v>1</v>
      </c>
      <c r="AA28" s="69">
        <v>6.3</v>
      </c>
    </row>
    <row r="29" spans="2:27" ht="15.75" x14ac:dyDescent="0.25">
      <c r="H29" s="15"/>
      <c r="I29" s="64" t="s">
        <v>154</v>
      </c>
      <c r="J29" s="61"/>
      <c r="K29" s="61"/>
      <c r="L29" s="61"/>
      <c r="M29" s="61"/>
      <c r="N29" s="15"/>
      <c r="O29" s="15"/>
      <c r="P29" s="15"/>
      <c r="Q29" s="15"/>
      <c r="R29" s="15"/>
      <c r="X29" s="68" t="s">
        <v>109</v>
      </c>
      <c r="Y29" s="68" t="s">
        <v>112</v>
      </c>
      <c r="Z29" s="68">
        <v>2</v>
      </c>
      <c r="AA29" s="69">
        <v>7.38</v>
      </c>
    </row>
    <row r="30" spans="2:27" ht="15.75" x14ac:dyDescent="0.25">
      <c r="H30" s="15"/>
      <c r="I30" s="192" t="s">
        <v>155</v>
      </c>
      <c r="J30" s="192"/>
      <c r="K30" s="192"/>
      <c r="L30" s="192"/>
      <c r="M30" s="192"/>
      <c r="N30" s="15"/>
      <c r="O30" s="15"/>
      <c r="P30" s="15"/>
      <c r="Q30" s="15"/>
      <c r="R30" s="15"/>
      <c r="X30" s="68" t="s">
        <v>109</v>
      </c>
      <c r="Y30" s="68" t="s">
        <v>112</v>
      </c>
      <c r="Z30" s="68">
        <v>3</v>
      </c>
      <c r="AA30" s="69">
        <v>14.54</v>
      </c>
    </row>
    <row r="31" spans="2:27" ht="15.75" x14ac:dyDescent="0.25">
      <c r="H31" s="15"/>
      <c r="I31" s="192" t="s">
        <v>156</v>
      </c>
      <c r="J31" s="192"/>
      <c r="K31" s="192"/>
      <c r="L31" s="192"/>
      <c r="M31" s="192"/>
      <c r="N31" s="15"/>
      <c r="O31" s="15"/>
      <c r="P31" s="15"/>
      <c r="Q31" s="15"/>
      <c r="R31" s="15"/>
    </row>
    <row r="32" spans="2:27" x14ac:dyDescent="0.25">
      <c r="H32" s="15"/>
      <c r="I32" s="63" t="s">
        <v>157</v>
      </c>
      <c r="N32" s="15"/>
      <c r="O32" s="15"/>
      <c r="P32" s="15"/>
      <c r="Q32" s="15"/>
      <c r="R32" s="15"/>
    </row>
    <row r="33" spans="8:25" x14ac:dyDescent="0.25">
      <c r="H33" s="15"/>
      <c r="N33" s="15"/>
      <c r="O33" s="42"/>
      <c r="P33" s="15"/>
      <c r="Q33" s="15"/>
      <c r="R33" s="15"/>
    </row>
    <row r="34" spans="8:25" ht="15.75" thickBot="1" x14ac:dyDescent="0.3">
      <c r="H34" s="15"/>
      <c r="I34" s="1" t="s">
        <v>185</v>
      </c>
      <c r="N34" s="15"/>
      <c r="O34" s="15"/>
      <c r="P34" s="15"/>
      <c r="Q34" s="15"/>
      <c r="R34" s="15"/>
    </row>
    <row r="35" spans="8:25" ht="15.75" thickBot="1" x14ac:dyDescent="0.3">
      <c r="H35" s="15"/>
      <c r="I35" s="75" t="s">
        <v>93</v>
      </c>
      <c r="J35" s="75" t="s">
        <v>141</v>
      </c>
      <c r="K35" s="115" t="s">
        <v>161</v>
      </c>
      <c r="L35" s="76" t="s">
        <v>128</v>
      </c>
      <c r="N35" s="15"/>
      <c r="O35" s="29"/>
      <c r="P35" s="83"/>
      <c r="Q35" s="83"/>
      <c r="R35" s="83"/>
      <c r="S35" s="83"/>
      <c r="T35" s="83"/>
      <c r="U35" s="83"/>
      <c r="V35" s="83"/>
      <c r="W35" s="83"/>
      <c r="X35" s="83"/>
      <c r="Y35" s="27"/>
    </row>
    <row r="36" spans="8:25" x14ac:dyDescent="0.25">
      <c r="H36" s="15"/>
      <c r="I36" s="97" t="s">
        <v>111</v>
      </c>
      <c r="J36" s="90">
        <f>K7</f>
        <v>6.3555555555555561</v>
      </c>
      <c r="K36" s="91">
        <f>J36+J$39</f>
        <v>10.143428613705129</v>
      </c>
      <c r="L36" s="92" t="s">
        <v>144</v>
      </c>
      <c r="O36" s="83"/>
      <c r="P36" s="83"/>
      <c r="Q36" s="27"/>
      <c r="R36" s="27"/>
      <c r="S36" s="27"/>
      <c r="T36" s="27"/>
      <c r="U36" s="27"/>
      <c r="V36" s="27"/>
      <c r="W36" s="27"/>
      <c r="X36" s="27"/>
      <c r="Y36" s="27"/>
    </row>
    <row r="37" spans="8:25" x14ac:dyDescent="0.25">
      <c r="H37" s="15"/>
      <c r="I37" s="98" t="s">
        <v>110</v>
      </c>
      <c r="J37" s="47">
        <f>J7</f>
        <v>9.4211111111111094</v>
      </c>
      <c r="K37" s="42">
        <f>J37+J$39</f>
        <v>13.208984169260683</v>
      </c>
      <c r="L37" s="40" t="s">
        <v>162</v>
      </c>
      <c r="N37" s="8"/>
      <c r="O37" s="83"/>
      <c r="P37" s="83"/>
      <c r="Q37" s="83"/>
      <c r="R37" s="27"/>
      <c r="S37" s="27"/>
      <c r="T37" s="27"/>
      <c r="U37" s="27"/>
      <c r="V37" s="27"/>
      <c r="W37" s="27"/>
      <c r="X37" s="27"/>
      <c r="Y37" s="27"/>
    </row>
    <row r="38" spans="8:25" ht="15.75" thickBot="1" x14ac:dyDescent="0.3">
      <c r="H38" s="15"/>
      <c r="I38" s="99" t="s">
        <v>112</v>
      </c>
      <c r="J38" s="78">
        <f>L7</f>
        <v>11.564444444444444</v>
      </c>
      <c r="K38" s="79"/>
      <c r="L38" s="44" t="s">
        <v>145</v>
      </c>
      <c r="N38" s="8"/>
      <c r="O38" s="83"/>
      <c r="P38" s="83"/>
      <c r="Q38" s="83"/>
      <c r="R38" s="83"/>
      <c r="S38" s="27"/>
      <c r="T38" s="27"/>
      <c r="U38" s="27"/>
      <c r="V38" s="27"/>
      <c r="W38" s="27"/>
      <c r="X38" s="27"/>
      <c r="Y38" s="27"/>
    </row>
    <row r="39" spans="8:25" ht="15.75" thickBot="1" x14ac:dyDescent="0.3">
      <c r="I39" s="93" t="s">
        <v>176</v>
      </c>
      <c r="J39" s="189">
        <f>J27</f>
        <v>3.7878730581495734</v>
      </c>
      <c r="K39" s="190"/>
      <c r="L39" s="191"/>
      <c r="M39" s="66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8:25" x14ac:dyDescent="0.25"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8" spans="8:25" ht="15.75" x14ac:dyDescent="0.25">
      <c r="I48" s="188" t="s">
        <v>93</v>
      </c>
      <c r="J48" s="188"/>
      <c r="K48" s="188"/>
      <c r="L48" s="188"/>
      <c r="M48" s="188"/>
      <c r="N48" s="84" t="s">
        <v>141</v>
      </c>
      <c r="O48" s="84" t="s">
        <v>168</v>
      </c>
      <c r="P48" s="84" t="s">
        <v>128</v>
      </c>
    </row>
    <row r="49" spans="9:16" ht="15.75" x14ac:dyDescent="0.25">
      <c r="I49" s="193" t="s">
        <v>188</v>
      </c>
      <c r="J49" s="193"/>
      <c r="K49" s="193"/>
      <c r="L49" s="193"/>
      <c r="M49" s="193"/>
      <c r="N49" s="85">
        <f>J7</f>
        <v>9.4211111111111094</v>
      </c>
      <c r="O49" s="124">
        <f>J6</f>
        <v>84.789999999999992</v>
      </c>
      <c r="P49" s="87" t="s">
        <v>162</v>
      </c>
    </row>
    <row r="50" spans="9:16" ht="15.75" x14ac:dyDescent="0.25">
      <c r="I50" s="193" t="s">
        <v>190</v>
      </c>
      <c r="J50" s="193"/>
      <c r="K50" s="193"/>
      <c r="L50" s="193"/>
      <c r="M50" s="193"/>
      <c r="N50" s="85">
        <f>K7</f>
        <v>6.3555555555555561</v>
      </c>
      <c r="O50" s="124">
        <f>K6</f>
        <v>57.2</v>
      </c>
      <c r="P50" s="87" t="s">
        <v>144</v>
      </c>
    </row>
    <row r="51" spans="9:16" ht="15.75" x14ac:dyDescent="0.25">
      <c r="I51" s="177" t="s">
        <v>189</v>
      </c>
      <c r="J51" s="177"/>
      <c r="K51" s="177"/>
      <c r="L51" s="177"/>
      <c r="M51" s="177"/>
      <c r="N51" s="85">
        <f>L7</f>
        <v>11.564444444444444</v>
      </c>
      <c r="O51" s="124">
        <f>L6</f>
        <v>104.08</v>
      </c>
      <c r="P51" s="87" t="s">
        <v>145</v>
      </c>
    </row>
    <row r="52" spans="9:16" ht="15.75" x14ac:dyDescent="0.25">
      <c r="I52" s="178" t="s">
        <v>176</v>
      </c>
      <c r="J52" s="178"/>
      <c r="K52" s="178"/>
      <c r="L52" s="178"/>
      <c r="M52" s="178"/>
      <c r="N52" s="174">
        <f>J39</f>
        <v>3.7878730581495734</v>
      </c>
      <c r="O52" s="174"/>
      <c r="P52" s="174"/>
    </row>
  </sheetData>
  <mergeCells count="16">
    <mergeCell ref="J24:M24"/>
    <mergeCell ref="X1:AA1"/>
    <mergeCell ref="B2:B3"/>
    <mergeCell ref="C2:E2"/>
    <mergeCell ref="F2:F3"/>
    <mergeCell ref="G2:G3"/>
    <mergeCell ref="I50:M50"/>
    <mergeCell ref="I51:M51"/>
    <mergeCell ref="I52:M52"/>
    <mergeCell ref="N52:P52"/>
    <mergeCell ref="J25:M25"/>
    <mergeCell ref="I30:M30"/>
    <mergeCell ref="I31:M31"/>
    <mergeCell ref="J39:L39"/>
    <mergeCell ref="I48:M48"/>
    <mergeCell ref="I49:M4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TPT</vt:lpstr>
      <vt:lpstr>Viskositas</vt:lpstr>
      <vt:lpstr>Gula Reduksi</vt:lpstr>
      <vt:lpstr>Antioksidan</vt:lpstr>
      <vt:lpstr>Antioksidan (Hitungan)</vt:lpstr>
      <vt:lpstr>Warna (L)</vt:lpstr>
      <vt:lpstr>Warna (a)</vt:lpstr>
      <vt:lpstr>Warna (b)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2023-11-26T10:24:15Z</dcterms:created>
  <dcterms:modified xsi:type="dcterms:W3CDTF">2024-02-22T16:28:55Z</dcterms:modified>
</cp:coreProperties>
</file>